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3975" windowWidth="19830" windowHeight="1320" tabRatio="659" activeTab="0"/>
  </bookViews>
  <sheets>
    <sheet name="目次" sheetId="1" r:id="rId1"/>
    <sheet name="基本情報入力（使い方）" sheetId="2" r:id="rId2"/>
    <sheet name="様式3-1別紙1　新旧対比表" sheetId="3" r:id="rId3"/>
    <sheet name="日本標準産業分類" sheetId="4" r:id="rId4"/>
    <sheet name="機械装置費（50万円以上）" sheetId="5" r:id="rId5"/>
    <sheet name="機械装置費（50万円未満）" sheetId="6" r:id="rId6"/>
    <sheet name="原材料費" sheetId="7" r:id="rId7"/>
    <sheet name="技術導入費" sheetId="8" r:id="rId8"/>
    <sheet name="外注加工費" sheetId="9" r:id="rId9"/>
    <sheet name="委託費" sheetId="10" r:id="rId10"/>
    <sheet name="知的財産権等関連経費" sheetId="11" r:id="rId11"/>
    <sheet name="運搬費" sheetId="12" r:id="rId12"/>
    <sheet name="専門家経費" sheetId="13" r:id="rId13"/>
    <sheet name="雑役務費" sheetId="14" r:id="rId14"/>
    <sheet name="クラウド利用費" sheetId="15" r:id="rId15"/>
    <sheet name="対象者一覧表" sheetId="16" r:id="rId16"/>
    <sheet name="総労働時間算定表(1)" sheetId="17" r:id="rId17"/>
    <sheet name="総労働時間算定表(2)" sheetId="18" r:id="rId18"/>
    <sheet name="直接人件費明細書(1)" sheetId="19" r:id="rId19"/>
    <sheet name="直接人件費明細書(2)" sheetId="20" r:id="rId20"/>
    <sheet name="賃金台帳(1)" sheetId="21" r:id="rId21"/>
    <sheet name="賃金台帳(2)" sheetId="22" r:id="rId22"/>
    <sheet name="賃金台帳(3)" sheetId="23" r:id="rId23"/>
    <sheet name="賃金台帳(4)" sheetId="24" r:id="rId24"/>
    <sheet name="賃金台帳(5)" sheetId="25" r:id="rId25"/>
    <sheet name="賃金台帳(6)" sheetId="26" r:id="rId26"/>
    <sheet name="賃金台帳(7)" sheetId="27" r:id="rId27"/>
    <sheet name="賃金台帳(8)" sheetId="28" r:id="rId28"/>
    <sheet name="賃金台帳(9)" sheetId="29" r:id="rId29"/>
    <sheet name="賃金台帳(10)" sheetId="30" r:id="rId30"/>
    <sheet name="賃金台帳(11)" sheetId="31" r:id="rId31"/>
    <sheet name="賃金台帳(12)" sheetId="32" r:id="rId32"/>
  </sheets>
  <externalReferences>
    <externalReference r:id="rId35"/>
    <externalReference r:id="rId36"/>
  </externalReferences>
  <definedNames>
    <definedName name="_xlfn.IFERROR" hidden="1">#NAME?</definedName>
    <definedName name="_xlfn.SHEETS" hidden="1">#NAME?</definedName>
    <definedName name="_xlfn.SUMIFS" hidden="1">#NAME?</definedName>
    <definedName name="_xlnm.Print_Area" localSheetId="14">'クラウド利用費'!$A$4:$O$38</definedName>
    <definedName name="_xlnm.Print_Area" localSheetId="9">'委託費'!$A$4:$O$38</definedName>
    <definedName name="_xlnm.Print_Area" localSheetId="11">'運搬費'!$A$4:$O$38</definedName>
    <definedName name="_xlnm.Print_Area" localSheetId="8">'外注加工費'!$A$4:$O$38</definedName>
    <definedName name="_xlnm.Print_Area" localSheetId="4">'機械装置費（50万円以上）'!$A$4:$O$38</definedName>
    <definedName name="_xlnm.Print_Area" localSheetId="5">'機械装置費（50万円未満）'!$A$4:$O$38</definedName>
    <definedName name="_xlnm.Print_Area" localSheetId="7">'技術導入費'!$A$4:$O$38</definedName>
    <definedName name="_xlnm.Print_Area" localSheetId="6">'原材料費'!$A$4:$O$38</definedName>
    <definedName name="_xlnm.Print_Area" localSheetId="13">'雑役務費'!$A$4:$N$38</definedName>
    <definedName name="_xlnm.Print_Area" localSheetId="12">'専門家経費'!$A$4:$O$38</definedName>
    <definedName name="_xlnm.Print_Area" localSheetId="15">'対象者一覧表'!$B$4:$H$42</definedName>
    <definedName name="_xlnm.Print_Area" localSheetId="10">'知的財産権等関連経費'!$A$4:$O$38</definedName>
    <definedName name="_xlnm.Print_Area" localSheetId="18">'直接人件費明細書(1)'!$A$4:$U$51</definedName>
    <definedName name="_xlnm.Print_Area" localSheetId="19">'直接人件費明細書(2)'!$A$4:$T$52</definedName>
    <definedName name="_xlnm.Print_Area" localSheetId="20">'賃金台帳(1)'!$A$4:$U$59</definedName>
    <definedName name="_xlnm.Print_Area" localSheetId="29">'賃金台帳(10)'!$A$4:$U$59</definedName>
    <definedName name="_xlnm.Print_Area" localSheetId="30">'賃金台帳(11)'!$A$4:$U$59</definedName>
    <definedName name="_xlnm.Print_Area" localSheetId="31">'賃金台帳(12)'!$A$4:$U$59</definedName>
    <definedName name="_xlnm.Print_Area" localSheetId="21">'賃金台帳(2)'!$A$4:$U$59</definedName>
    <definedName name="_xlnm.Print_Area" localSheetId="22">'賃金台帳(3)'!$A$4:$U$59</definedName>
    <definedName name="_xlnm.Print_Area" localSheetId="23">'賃金台帳(4)'!$A$4:$U$59</definedName>
    <definedName name="_xlnm.Print_Area" localSheetId="24">'賃金台帳(5)'!$A$4:$U$59</definedName>
    <definedName name="_xlnm.Print_Area" localSheetId="25">'賃金台帳(6)'!$A$4:$U$59</definedName>
    <definedName name="_xlnm.Print_Area" localSheetId="26">'賃金台帳(7)'!$A$4:$U$59</definedName>
    <definedName name="_xlnm.Print_Area" localSheetId="27">'賃金台帳(8)'!$A$4:$U$59</definedName>
    <definedName name="_xlnm.Print_Area" localSheetId="28">'賃金台帳(9)'!$A$4:$U$59</definedName>
    <definedName name="_xlnm.Print_Area" localSheetId="2">'様式3-1別紙1　新旧対比表'!$B$20:$Z$41</definedName>
    <definedName name="移動">#REF!,#REF!,#REF!,#REF!,#REF!,#REF!,#REF!,#REF!,#REF!,#REF!,#REF!,#REF!</definedName>
    <definedName name="事業類型" localSheetId="2">'様式3-1別紙1　新旧対比表'!$AB$18</definedName>
    <definedName name="消費税率" localSheetId="2">'様式3-1別紙1　新旧対比表'!$AB$17</definedName>
    <definedName name="人件費支出明細書">#REF!,#REF!,#REF!,#REF!,#REF!,#REF!,#REF!,#REF!,#REF!,#REF!,#REF!,#REF!</definedName>
    <definedName name="対象">#REF!,#REF!,#REF!,#REF!,#REF!,#REF!,#REF!,#REF!,#REF!,#REF!,#REF!,#REF!</definedName>
    <definedName name="賃金台帳">#REF!,#REF!,#REF!,#REF!,#REF!,#REF!,#REF!,#REF!,#REF!,#REF!,#REF!,#REF!</definedName>
    <definedName name="補助上限額" localSheetId="2">'様式3-1別紙1　新旧対比表'!$AB$20</definedName>
  </definedNames>
  <calcPr fullCalcOnLoad="1"/>
</workbook>
</file>

<file path=xl/comments3.xml><?xml version="1.0" encoding="utf-8"?>
<comments xmlns="http://schemas.openxmlformats.org/spreadsheetml/2006/main">
  <authors>
    <author>mono31 飛永　美和</author>
    <author>PCUser</author>
    <author>bara</author>
    <author>EH</author>
    <author>高村 育子</author>
  </authors>
  <commentList>
    <comment ref="D25" authorId="0">
      <text>
        <r>
          <rPr>
            <sz val="14"/>
            <rFont val="ＭＳ Ｐゴシック"/>
            <family val="3"/>
          </rPr>
          <t>交付申請（決定）時の金額を手入力してください。</t>
        </r>
      </text>
    </comment>
    <comment ref="AH25" authorId="1">
      <text>
        <r>
          <rPr>
            <sz val="11"/>
            <rFont val="ＭＳ Ｐゴシック"/>
            <family val="3"/>
          </rPr>
          <t xml:space="preserve">各経費区分ごとに判定。
判定１～判定３に「×」が１つでもあると、「×」と判定。
</t>
        </r>
      </text>
    </comment>
    <comment ref="AI25" authorId="2">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AJ25" authorId="1">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L25" authorId="1">
      <text>
        <r>
          <rPr>
            <sz val="11"/>
            <rFont val="ＭＳ Ｐゴシック"/>
            <family val="3"/>
          </rPr>
          <t>判定１～７、「実績額の総額についての判定」がすべて「○」のとき、総合判定は「○」</t>
        </r>
      </text>
    </comment>
    <comment ref="O27" authorId="2">
      <text>
        <r>
          <rPr>
            <b/>
            <sz val="9"/>
            <rFont val="ＭＳ Ｐゴシック"/>
            <family val="3"/>
          </rPr>
          <t>bara:</t>
        </r>
        <r>
          <rPr>
            <sz val="9"/>
            <rFont val="ＭＳ Ｐゴシック"/>
            <family val="3"/>
          </rPr>
          <t xml:space="preserve">
積み上げで一円は違う時があります。
</t>
        </r>
      </text>
    </comment>
    <comment ref="T31" authorId="0">
      <text>
        <r>
          <rPr>
            <sz val="14"/>
            <rFont val="ＭＳ Ｐゴシック"/>
            <family val="3"/>
          </rPr>
          <t>変更後の直接人件費の補助対象経費（税抜き）は、変更前の補助対象経費（税抜き）を超えることはできません。</t>
        </r>
      </text>
    </comment>
    <comment ref="AI33" authorId="3">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AI34" authorId="3">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U26" authorId="4">
      <text>
        <r>
          <rPr>
            <sz val="14"/>
            <rFont val="ＭＳ Ｐゴシック"/>
            <family val="3"/>
          </rPr>
          <t>補助対象経費の各種要件を加味し自動計算されるため、変更前の交付決定額より減額になる場合があります。</t>
        </r>
      </text>
    </comment>
  </commentList>
</comments>
</file>

<file path=xl/comments6.xml><?xml version="1.0" encoding="utf-8"?>
<comments xmlns="http://schemas.openxmlformats.org/spreadsheetml/2006/main">
  <authors>
    <author>高村 育子</author>
  </authors>
  <commentList>
    <comment ref="N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<sst xmlns="http://schemas.openxmlformats.org/spreadsheetml/2006/main" count="3924" uniqueCount="1049">
  <si>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</si>
  <si>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</si>
  <si>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</si>
  <si>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</si>
  <si>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</si>
  <si>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</si>
  <si>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</si>
  <si>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</si>
  <si>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</si>
  <si>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</si>
  <si>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</si>
  <si>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</si>
  <si>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</si>
  <si>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</si>
  <si>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</si>
  <si>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</si>
  <si>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</si>
  <si>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</si>
  <si>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</si>
  <si>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</si>
  <si>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</si>
  <si>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</si>
  <si>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</si>
  <si>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</si>
  <si>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</si>
  <si>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</si>
  <si>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</si>
  <si>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</si>
  <si>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①</t>
  </si>
  <si>
    <t>年</t>
  </si>
  <si>
    <t>月</t>
  </si>
  <si>
    <t>直接人件費明細書</t>
  </si>
  <si>
    <t>　費目別経費支出明細書</t>
  </si>
  <si>
    <t>(注1)</t>
  </si>
  <si>
    <t>(注2)</t>
  </si>
  <si>
    <t>(注3)</t>
  </si>
  <si>
    <t>(単位:円)</t>
  </si>
  <si>
    <t>B×2/3以内</t>
  </si>
  <si>
    <t>補助金交付申請額</t>
  </si>
  <si>
    <t>（税抜き）</t>
  </si>
  <si>
    <t>原材料費</t>
  </si>
  <si>
    <t>(税抜き)</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</si>
  <si>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</si>
  <si>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</si>
  <si>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</si>
  <si>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</si>
  <si>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</si>
  <si>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</si>
  <si>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</si>
  <si>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</si>
  <si>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</si>
  <si>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</si>
  <si>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</si>
  <si>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</si>
  <si>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</si>
  <si>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外注加工費</t>
  </si>
  <si>
    <t>運搬費</t>
  </si>
  <si>
    <t>雑役務費</t>
  </si>
  <si>
    <t>A</t>
  </si>
  <si>
    <t>B</t>
  </si>
  <si>
    <t>直接人件費</t>
  </si>
  <si>
    <t>【時間単価算出方法計算式】</t>
  </si>
  <si>
    <t>C</t>
  </si>
  <si>
    <r>
      <t>（A+B）</t>
    </r>
    <r>
      <rPr>
        <sz val="11"/>
        <rFont val="ＭＳ Ｐゴシック"/>
        <family val="3"/>
      </rPr>
      <t>÷C</t>
    </r>
  </si>
  <si>
    <t>&lt;参考様式3&gt;</t>
  </si>
  <si>
    <t>事業者名：</t>
  </si>
  <si>
    <t>所属：</t>
  </si>
  <si>
    <t>氏名：　　　　</t>
  </si>
  <si>
    <t>生年月日：</t>
  </si>
  <si>
    <t>項　目</t>
  </si>
  <si>
    <t>賞与</t>
  </si>
  <si>
    <t>家族手当</t>
  </si>
  <si>
    <t>住居手当</t>
  </si>
  <si>
    <t>通勤手当</t>
  </si>
  <si>
    <t>役付手当</t>
  </si>
  <si>
    <t>職階手当</t>
  </si>
  <si>
    <t>皆勤手当</t>
  </si>
  <si>
    <t>能率手当</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</si>
  <si>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</si>
  <si>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</si>
  <si>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</si>
  <si>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</si>
  <si>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</si>
  <si>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</si>
  <si>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</si>
  <si>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</si>
  <si>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</si>
  <si>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</si>
  <si>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</si>
  <si>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</si>
  <si>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</si>
  <si>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</si>
  <si>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</si>
  <si>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</si>
  <si>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</si>
  <si>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</si>
  <si>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</si>
  <si>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</si>
  <si>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</si>
  <si>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</si>
  <si>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</si>
  <si>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</si>
  <si>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</si>
  <si>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</si>
  <si>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</si>
  <si>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</si>
  <si>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</si>
  <si>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</si>
  <si>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</si>
  <si>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</si>
  <si>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</si>
  <si>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</si>
  <si>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</si>
  <si>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</si>
  <si>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それに対応する法定福利費をもとに簡易に自動計算して算出する仕組みとなっています。</t>
  </si>
  <si>
    <t xml:space="preserve">  </t>
  </si>
  <si>
    <t>+</t>
  </si>
  <si>
    <t>÷</t>
  </si>
  <si>
    <t>＝</t>
  </si>
  <si>
    <t>健康保険(12年3月から)</t>
  </si>
  <si>
    <t>順位</t>
  </si>
  <si>
    <t>判定</t>
  </si>
  <si>
    <t>加算する金額</t>
  </si>
  <si>
    <t>消費税率(%)</t>
  </si>
  <si>
    <t>①</t>
  </si>
  <si>
    <t>3月</t>
  </si>
  <si>
    <t>4月</t>
  </si>
  <si>
    <t>基本給・賞与</t>
  </si>
  <si>
    <t>委託費</t>
  </si>
  <si>
    <t>知的財産関連経費</t>
  </si>
  <si>
    <t>運搬費</t>
  </si>
  <si>
    <t>雑役務費</t>
  </si>
  <si>
    <t>補助上限額</t>
  </si>
  <si>
    <t>設備投資の制限</t>
  </si>
  <si>
    <t>その他の経費の制限</t>
  </si>
  <si>
    <t>判定50</t>
  </si>
  <si>
    <t>判定500</t>
  </si>
  <si>
    <t>計算結果</t>
  </si>
  <si>
    <t>照合金額</t>
  </si>
  <si>
    <t>外注加工費+委託費</t>
  </si>
  <si>
    <t>知的財産権等関連経費</t>
  </si>
  <si>
    <t>補助対象経費</t>
  </si>
  <si>
    <t>介護保険(14年3月から)</t>
  </si>
  <si>
    <t>(単位:円)</t>
  </si>
  <si>
    <t>（税込み）</t>
  </si>
  <si>
    <t>年齢は左端の月末時点</t>
  </si>
  <si>
    <t>人件費小計</t>
  </si>
  <si>
    <t>人件費累計</t>
  </si>
  <si>
    <t>②</t>
  </si>
  <si>
    <t>従事者氏名</t>
  </si>
  <si>
    <t>これで準備は終了しました。</t>
  </si>
  <si>
    <t>なお、このＥＸＣＥＬのフォーマットは計算式に保護をかけています。</t>
  </si>
  <si>
    <t>消費税は切り捨てにしてありますので微調整は必要です。</t>
  </si>
  <si>
    <t>次に、直接人件費を補助対象とする場合の作業について説明します。</t>
  </si>
  <si>
    <t>この補助金では人件費の時間単価の計算については年間理論総労働時間に対応する超過勤務を含まない人件費と</t>
  </si>
  <si>
    <t>本ワークシートの使い方について</t>
  </si>
  <si>
    <t>知的財産権等関連経費</t>
  </si>
  <si>
    <t>事業者名</t>
  </si>
  <si>
    <t>5,000円超の場合は</t>
  </si>
  <si>
    <t>右記の通り</t>
  </si>
  <si>
    <t>㊞</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</si>
  <si>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</si>
  <si>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</si>
  <si>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</si>
  <si>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</si>
  <si>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</si>
  <si>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</si>
  <si>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</si>
  <si>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</si>
  <si>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</si>
  <si>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</si>
  <si>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</si>
  <si>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</si>
  <si>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</si>
  <si>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</si>
  <si>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</si>
  <si>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</si>
  <si>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</si>
  <si>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</si>
  <si>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</si>
  <si>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</si>
  <si>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</si>
  <si>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</si>
  <si>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</si>
  <si>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</si>
  <si>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</si>
  <si>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</si>
  <si>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</si>
  <si>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</si>
  <si>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</si>
  <si>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</si>
  <si>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</si>
  <si>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</si>
  <si>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</si>
  <si>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</si>
  <si>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</si>
  <si>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</si>
  <si>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</si>
  <si>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</si>
  <si>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</si>
  <si>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</si>
  <si>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</si>
  <si>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</si>
  <si>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</si>
  <si>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</si>
  <si>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</si>
  <si>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</si>
  <si>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</si>
  <si>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</si>
  <si>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</si>
  <si>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</si>
  <si>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</si>
  <si>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</si>
  <si>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</si>
  <si>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</si>
  <si>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</si>
  <si>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</si>
  <si>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</si>
  <si>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</si>
  <si>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</si>
  <si>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</si>
  <si>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</si>
  <si>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</si>
  <si>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</si>
  <si>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</si>
  <si>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</si>
  <si>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</si>
  <si>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</si>
  <si>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</si>
  <si>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</si>
  <si>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</si>
  <si>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</si>
  <si>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</si>
  <si>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</si>
  <si>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</si>
  <si>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</si>
  <si>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</si>
  <si>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</si>
  <si>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</si>
  <si>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</si>
  <si>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</si>
  <si>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</si>
  <si>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</si>
  <si>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</si>
  <si>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</si>
  <si>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</si>
  <si>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</si>
  <si>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</si>
  <si>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</si>
  <si>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</si>
  <si>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</si>
  <si>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</si>
  <si>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</si>
  <si>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</si>
  <si>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</si>
  <si>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</si>
  <si>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</si>
  <si>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</si>
  <si>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</si>
  <si>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</si>
  <si>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</si>
  <si>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</si>
  <si>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</si>
  <si>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</si>
  <si>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</si>
  <si>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</si>
  <si>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</si>
  <si>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</si>
  <si>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</si>
  <si>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</si>
  <si>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</si>
  <si>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</si>
  <si>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</si>
  <si>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</si>
  <si>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</si>
  <si>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</si>
  <si>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</si>
  <si>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</si>
  <si>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</si>
  <si>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</si>
  <si>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</si>
  <si>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</si>
  <si>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</si>
  <si>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</si>
  <si>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</si>
  <si>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</si>
  <si>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</si>
  <si>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</si>
  <si>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</si>
  <si>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</si>
  <si>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</si>
  <si>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</si>
  <si>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</si>
  <si>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</si>
  <si>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</si>
  <si>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</si>
  <si>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</si>
  <si>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</si>
  <si>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</si>
  <si>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</si>
  <si>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</si>
  <si>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</si>
  <si>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</si>
  <si>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</si>
  <si>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</si>
  <si>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</si>
  <si>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</si>
  <si>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</si>
  <si>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</si>
  <si>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</si>
  <si>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</si>
  <si>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</si>
  <si>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</si>
  <si>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</si>
  <si>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</si>
  <si>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</si>
  <si>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</si>
  <si>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</si>
  <si>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</si>
  <si>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</si>
  <si>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</si>
  <si>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</si>
  <si>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</si>
  <si>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</si>
  <si>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</si>
  <si>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</si>
  <si>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</si>
  <si>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</si>
  <si>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</si>
  <si>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</si>
  <si>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</si>
  <si>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</si>
  <si>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</si>
  <si>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</si>
  <si>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</si>
  <si>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</si>
  <si>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</si>
  <si>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</si>
  <si>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</si>
  <si>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</si>
  <si>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</si>
  <si>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</si>
  <si>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</si>
  <si>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</si>
  <si>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</si>
  <si>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</si>
  <si>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</si>
  <si>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</si>
  <si>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</si>
  <si>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</si>
  <si>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</si>
  <si>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</si>
  <si>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</si>
  <si>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</si>
  <si>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</si>
  <si>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</si>
  <si>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</si>
  <si>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</si>
  <si>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</si>
  <si>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</si>
  <si>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</si>
  <si>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</si>
  <si>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</si>
  <si>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</si>
  <si>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</si>
  <si>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</si>
  <si>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</si>
  <si>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</si>
  <si>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</si>
  <si>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</si>
  <si>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</si>
  <si>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</si>
  <si>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</si>
  <si>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</si>
  <si>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</si>
  <si>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</si>
  <si>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</si>
  <si>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</si>
  <si>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</si>
  <si>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</si>
  <si>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</si>
  <si>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</si>
  <si>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</si>
  <si>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</si>
  <si>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</si>
  <si>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</si>
  <si>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</si>
  <si>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</si>
  <si>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</si>
  <si>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</si>
  <si>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</si>
  <si>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</si>
  <si>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</si>
  <si>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</si>
  <si>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</si>
  <si>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</si>
  <si>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</si>
  <si>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</si>
  <si>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</si>
  <si>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</si>
  <si>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</si>
  <si>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</si>
  <si>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</si>
  <si>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</si>
  <si>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</si>
  <si>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</si>
  <si>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</si>
  <si>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</si>
  <si>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</si>
  <si>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</si>
  <si>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</si>
  <si>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</si>
  <si>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</si>
  <si>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</si>
  <si>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</si>
  <si>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</si>
  <si>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</si>
  <si>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</si>
  <si>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</si>
  <si>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</si>
  <si>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</si>
  <si>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</si>
  <si>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</si>
  <si>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</si>
  <si>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</si>
  <si>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</si>
  <si>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</si>
  <si>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</si>
  <si>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</si>
  <si>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</si>
  <si>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</si>
  <si>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</si>
  <si>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</si>
  <si>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</si>
  <si>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</si>
  <si>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</si>
  <si>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</si>
  <si>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</si>
  <si>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</si>
  <si>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</si>
  <si>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</si>
  <si>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</si>
  <si>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</si>
  <si>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</si>
  <si>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</si>
  <si>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</si>
  <si>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</si>
  <si>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</si>
  <si>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</si>
  <si>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</si>
  <si>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</si>
  <si>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</si>
  <si>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</si>
  <si>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</si>
  <si>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</si>
  <si>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</si>
  <si>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</si>
  <si>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</si>
  <si>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</si>
  <si>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</si>
  <si>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</si>
  <si>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</si>
  <si>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</si>
  <si>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</si>
  <si>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</si>
  <si>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</si>
  <si>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</si>
  <si>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</si>
  <si>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</si>
  <si>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</si>
  <si>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</si>
  <si>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</si>
  <si>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</si>
  <si>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</si>
  <si>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</si>
  <si>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</si>
  <si>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</si>
  <si>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</si>
  <si>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</si>
  <si>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</si>
  <si>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</si>
  <si>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</si>
  <si>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</si>
  <si>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</si>
  <si>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</si>
  <si>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</si>
  <si>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</si>
  <si>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</si>
  <si>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</si>
  <si>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</si>
  <si>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</si>
  <si>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</si>
  <si>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</si>
  <si>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</si>
  <si>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</si>
  <si>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</si>
  <si>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</si>
  <si>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</si>
  <si>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</si>
  <si>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</si>
  <si>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</si>
  <si>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</si>
  <si>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</si>
  <si>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</si>
  <si>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</si>
  <si>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</si>
  <si>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</si>
  <si>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</si>
  <si>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</si>
  <si>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</si>
  <si>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</si>
  <si>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</si>
  <si>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</si>
  <si>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</si>
  <si>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</si>
  <si>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</si>
  <si>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</si>
  <si>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</si>
  <si>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</si>
  <si>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</si>
  <si>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</si>
  <si>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</si>
  <si>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</si>
  <si>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</si>
  <si>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</si>
  <si>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</si>
  <si>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</si>
  <si>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</si>
  <si>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</si>
  <si>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</si>
  <si>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</si>
  <si>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</si>
  <si>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</si>
  <si>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</si>
  <si>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</si>
  <si>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</si>
  <si>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</si>
  <si>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</si>
  <si>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</si>
  <si>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</si>
  <si>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</si>
  <si>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</si>
  <si>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</si>
  <si>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</si>
  <si>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</si>
  <si>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</si>
  <si>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</si>
  <si>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</si>
  <si>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</si>
  <si>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</si>
  <si>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</si>
  <si>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</si>
  <si>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</si>
  <si>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</si>
  <si>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</si>
  <si>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</si>
  <si>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</si>
  <si>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</si>
  <si>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</si>
  <si>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</si>
  <si>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</si>
  <si>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</si>
  <si>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</si>
  <si>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</si>
  <si>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</si>
  <si>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</si>
  <si>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</si>
  <si>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</si>
  <si>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</si>
  <si>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</si>
  <si>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</si>
  <si>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</si>
  <si>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</si>
  <si>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</si>
  <si>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</si>
  <si>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</si>
  <si>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</si>
  <si>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</si>
  <si>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</si>
  <si>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</si>
  <si>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</si>
  <si>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</si>
  <si>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</si>
  <si>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</si>
  <si>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</si>
  <si>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</si>
  <si>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</si>
  <si>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</si>
  <si>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</si>
  <si>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</si>
  <si>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</si>
  <si>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</si>
  <si>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</si>
  <si>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</si>
  <si>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</si>
  <si>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</si>
  <si>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</si>
  <si>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</si>
  <si>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</si>
  <si>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</si>
  <si>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</si>
  <si>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</si>
  <si>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</si>
  <si>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</si>
  <si>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</si>
  <si>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</si>
  <si>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</si>
  <si>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</si>
  <si>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</si>
  <si>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</si>
  <si>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</si>
  <si>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</si>
  <si>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</si>
  <si>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</si>
  <si>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</si>
  <si>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</si>
  <si>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</si>
  <si>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</si>
  <si>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</si>
  <si>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</si>
  <si>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</si>
  <si>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</si>
  <si>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</si>
  <si>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</si>
  <si>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</si>
  <si>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</si>
  <si>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</si>
  <si>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</si>
  <si>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</si>
  <si>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</si>
  <si>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</si>
  <si>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</si>
  <si>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</si>
  <si>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</si>
  <si>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</si>
  <si>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</si>
  <si>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</si>
  <si>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</si>
  <si>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</si>
  <si>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</si>
  <si>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</si>
  <si>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</si>
  <si>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</si>
  <si>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 xml:space="preserve">        =</t>
  </si>
  <si>
    <t xml:space="preserve">×    </t>
  </si>
  <si>
    <t>×   (</t>
  </si>
  <si>
    <t>60進法→10進法</t>
  </si>
  <si>
    <t>分  )   =</t>
  </si>
  <si>
    <t>総労働時間を毎月の労働日数と１日の就業時間や休憩時間を入力して計算します。</t>
  </si>
  <si>
    <t>合計は自動計算します。</t>
  </si>
  <si>
    <t>対象者一覧表に氏名等を入力して下さい。</t>
  </si>
  <si>
    <t>賃金台帳の項目を入力し、それぞれの毎月の金額を入力します。残業代は入力しないでください。</t>
  </si>
  <si>
    <r>
      <t>年間法定
福利費</t>
    </r>
    <r>
      <rPr>
        <sz val="11"/>
        <rFont val="ＭＳ Ｐゴシック"/>
        <family val="3"/>
      </rPr>
      <t xml:space="preserve">
</t>
    </r>
    <r>
      <rPr>
        <sz val="10"/>
        <rFont val="ＭＳ Ｐゴシック"/>
        <family val="3"/>
      </rPr>
      <t>（事業者負担分）</t>
    </r>
  </si>
  <si>
    <t>（注1）直接人件費の補助対象者は、交付申請書または計画変更承認申請書にて対象と認められた方のみとなります。それ以外は補助対象とはなりません。</t>
  </si>
  <si>
    <t>厚生年金保険(14年8月まで)</t>
  </si>
  <si>
    <t>厚生年金保険(14年9月から)</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</si>
  <si>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</si>
  <si>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</si>
  <si>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</si>
  <si>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</si>
  <si>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事業者名：</t>
  </si>
  <si>
    <t>例、作業週報17：40（60進法）→40分÷60＝0.66666･･･　　17＋0.66666・・・＝17.66666・・・→17.66時間（10進法）→直接人件費明細書の該当月に17.66と入力。</t>
  </si>
  <si>
    <t>※（　）内：小数第4位以下切捨</t>
  </si>
  <si>
    <t>中小企業・小規模事業者ものづくり・商業・サービス革新事業補助金に係わる標記の研究開発従事者の給与実績は上記の通りであることを証明します。</t>
  </si>
  <si>
    <t>円</t>
  </si>
  <si>
    <t>）</t>
  </si>
  <si>
    <t>(</t>
  </si>
  <si>
    <t>■　年間総支給額</t>
  </si>
  <si>
    <t>以下の判定結果をもとに数値を見直してください。</t>
  </si>
  <si>
    <t>差額</t>
  </si>
  <si>
    <t>交付申請時用</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</si>
  <si>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</si>
  <si>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</si>
  <si>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</si>
  <si>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</si>
  <si>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機械装置費は補助対象経費の総額５０万円未満にすること</t>
  </si>
  <si>
    <t>総額のチェックのため単価は積算明細で確認すること</t>
  </si>
  <si>
    <t>総合判定</t>
  </si>
  <si>
    <t>名前の管理（引用しているため削除不可）</t>
  </si>
  <si>
    <t>外、委、知は補助対象経費総額の1/2・1/2・1/3以内か</t>
  </si>
  <si>
    <t>その他経費の制限に抵触していないか
（上図）</t>
  </si>
  <si>
    <t>名前</t>
  </si>
  <si>
    <t>消費税率</t>
  </si>
  <si>
    <t>事業類型</t>
  </si>
  <si>
    <t>補助上限額</t>
  </si>
  <si>
    <t>合　計</t>
  </si>
  <si>
    <t>※実際の勤務にあわせて記入願います。就業規則等と不一致の場合、就業規則等の改定が必要な場合があります。</t>
  </si>
  <si>
    <t>給与支払月</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</si>
  <si>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</si>
  <si>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</si>
  <si>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</si>
  <si>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</si>
  <si>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</si>
  <si>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</si>
  <si>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優先される数値</t>
  </si>
  <si>
    <t>　</t>
  </si>
  <si>
    <t>↓</t>
  </si>
  <si>
    <t>賞与支払月</t>
  </si>
  <si>
    <t>9月</t>
  </si>
  <si>
    <t>12月</t>
  </si>
  <si>
    <r>
      <rPr>
        <sz val="11"/>
        <color indexed="23"/>
        <rFont val="ＭＳ Ｐゴシック"/>
        <family val="3"/>
      </rPr>
      <t>直近１年</t>
    </r>
    <r>
      <rPr>
        <sz val="11"/>
        <color indexed="10"/>
        <rFont val="ＭＳ Ｐゴシック"/>
        <family val="3"/>
      </rPr>
      <t>（例）</t>
    </r>
  </si>
  <si>
    <t>～12月</t>
  </si>
  <si>
    <t>子ども・子育て拠出金</t>
  </si>
  <si>
    <r>
      <t>介護保険</t>
    </r>
    <r>
      <rPr>
        <sz val="10"/>
        <rFont val="ＭＳ Ｐゴシック"/>
        <family val="3"/>
      </rPr>
      <t>(15年4月から)</t>
    </r>
  </si>
  <si>
    <t>時間単価算出のための人件費対象者賃金台帳</t>
  </si>
  <si>
    <t>＊　自動計算で保護をかけています。パスワードはかけていません。</t>
  </si>
  <si>
    <t>＊　この【使い方】シート上の保険料率を変更しても賃金台帳には反映しません。各【賃金台帳】シート上に入力してください。</t>
  </si>
  <si>
    <t>保険料率（例）</t>
  </si>
  <si>
    <t>・介護保険については４０歳以上６５歳未満の方が対象です。</t>
  </si>
  <si>
    <t>・厚生年金基金への加入の有無によらず、厚生年金保険部分は毎年9月に料率変更します。</t>
  </si>
  <si>
    <t>　保険料を算出してください。</t>
  </si>
  <si>
    <t>・雇用保険は年齢によって適用の有無が変わります。</t>
  </si>
  <si>
    <t>・雇用保険（事業主負担分）・労災保険（事業主のみ負担）は業種によって料率が異なります。</t>
  </si>
  <si>
    <t>・４月１日の時点で６４歳以上の方はその年度の雇用保険の事業主負担はありません。（４月から０になります。）</t>
  </si>
  <si>
    <t>・（☆）は保険料率が変動した場合、料率ごとに２段書きにする。</t>
  </si>
  <si>
    <t>・「児童手当拠出金」は2015年4月より「子ども・子育て拠出金」に名称変更されました。</t>
  </si>
  <si>
    <t xml:space="preserve"> （☆）</t>
  </si>
  <si>
    <t>・健康保険組合については、所定の料率を入力してください。</t>
  </si>
  <si>
    <t>（注2）月毎の従事時間は給与締日にあわせてください。例：2月20日締の翌3月5日払の場合、1/21～2/20の週報の集計は原則支払月の3月に記載してください。</t>
  </si>
  <si>
    <t>（注3）本事業従事時間は作業週報の給与サイクルでの合計（60進法）を時間単位（10進法）に変更し、小数点第２位まで入力してください。（小数点第３位以下切捨）</t>
  </si>
  <si>
    <t>次に、補助金の上限を設定するため事業類型を選択してください。(必須)</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</si>
  <si>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</si>
  <si>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</si>
  <si>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保険料率は補助事業者ごとに、適用料率を入力してください。</t>
  </si>
  <si>
    <t>対象者の状況に応じて、自動計算された値が不要な場合は、削除するなど個別に修正等を行なってください。</t>
  </si>
  <si>
    <t>以上の入力で、「時間単価」が計算されます。上限は5,000円です。</t>
  </si>
  <si>
    <t>これで人件費の計算は確定します。</t>
  </si>
  <si>
    <t>介護保険(15年4月から)</t>
  </si>
  <si>
    <t>*厚生年金保険料率は毎年9月に料率変更。　　　　*　「児童手当拠出金」は2015年4月より「子ども・子育て拠出金」に名称変更されました。</t>
  </si>
  <si>
    <t>(注4)　実績報告書では、事前申請したものから本事業従事者のみ記入してください。</t>
  </si>
  <si>
    <t>単位</t>
  </si>
  <si>
    <t>時間</t>
  </si>
  <si>
    <t>従事</t>
  </si>
  <si>
    <t>時間数</t>
  </si>
  <si>
    <t>*介護保険は40歳以上65歳未満が対象。　基金によっては料率が3月から改正される場合がありますので修正してください。　　　　*雇用保険料率・労災保険率は各事業所の保険料率を記載すること。</t>
  </si>
  <si>
    <r>
      <t>【賃金台帳】年間法定福利費の保険料率部分を抜粋　</t>
    </r>
    <r>
      <rPr>
        <sz val="12"/>
        <color indexed="10"/>
        <rFont val="ＭＳ ゴシック"/>
        <family val="3"/>
      </rPr>
      <t>（例）　加入状況　：　協会けんぽ・40歳以上・厚生年金・一般の事業・電気機械器具製造業の場合</t>
    </r>
  </si>
  <si>
    <t>企業名を入力してください。</t>
  </si>
  <si>
    <t>■はじめに</t>
  </si>
  <si>
    <r>
      <t>・「厚生年金基金：加入あり」の場合、</t>
    </r>
    <r>
      <rPr>
        <sz val="12"/>
        <color indexed="8"/>
        <rFont val="ＭＳ ゴシック"/>
        <family val="3"/>
      </rPr>
      <t>基金の料率表</t>
    </r>
    <r>
      <rPr>
        <sz val="12"/>
        <color indexed="8"/>
        <rFont val="ＭＳ ゴシック"/>
        <family val="3"/>
      </rPr>
      <t>をもとに、厚生</t>
    </r>
    <r>
      <rPr>
        <sz val="12"/>
        <color indexed="17"/>
        <rFont val="ＭＳ ゴシック"/>
        <family val="3"/>
      </rPr>
      <t>年金</t>
    </r>
    <r>
      <rPr>
        <sz val="12"/>
        <color indexed="8"/>
        <rFont val="ＭＳ ゴシック"/>
        <family val="3"/>
      </rPr>
      <t>と</t>
    </r>
    <r>
      <rPr>
        <sz val="12"/>
        <color indexed="17"/>
        <rFont val="ＭＳ ゴシック"/>
        <family val="3"/>
      </rPr>
      <t>基金</t>
    </r>
    <r>
      <rPr>
        <sz val="12"/>
        <color indexed="8"/>
        <rFont val="ＭＳ ゴシック"/>
        <family val="3"/>
      </rPr>
      <t>の料率を</t>
    </r>
    <r>
      <rPr>
        <sz val="12"/>
        <color indexed="8"/>
        <rFont val="ＭＳ ゴシック"/>
        <family val="3"/>
      </rPr>
      <t>それぞれ</t>
    </r>
    <r>
      <rPr>
        <sz val="12"/>
        <color indexed="8"/>
        <rFont val="ＭＳ ゴシック"/>
        <family val="3"/>
      </rPr>
      <t>入力し</t>
    </r>
  </si>
  <si>
    <t>原材料費</t>
  </si>
  <si>
    <t>技術導入費</t>
  </si>
  <si>
    <t>外注加工費</t>
  </si>
  <si>
    <t>　 ※下記の各費用項目をクリックすると対象のシートに移動します。</t>
  </si>
  <si>
    <t>ＳＴＥＰ　1</t>
  </si>
  <si>
    <t>対象者一覧表</t>
  </si>
  <si>
    <t>総労働時間算定表(1)</t>
  </si>
  <si>
    <t>ＳＴＥＰ　2</t>
  </si>
  <si>
    <t>総労働時間算定表(2)は予備</t>
  </si>
  <si>
    <t>（修正前は、自動的に総労働時間算定表（1）の数値が反映されています）</t>
  </si>
  <si>
    <t>ＳＴＥＰ　3</t>
  </si>
  <si>
    <t>賃金台帳</t>
  </si>
  <si>
    <t>ものづくり技術</t>
  </si>
  <si>
    <t>共同設備投資</t>
  </si>
  <si>
    <t>革新的サービス（一般型）</t>
  </si>
  <si>
    <t>革新的サービス（コンパクト型）</t>
  </si>
  <si>
    <t>機械装置費（50万円以上）</t>
  </si>
  <si>
    <t>機械装置費（50万円未満）</t>
  </si>
  <si>
    <t>専門家経費</t>
  </si>
  <si>
    <t>クラウド利用費</t>
  </si>
  <si>
    <t>なし</t>
  </si>
  <si>
    <t>－</t>
  </si>
  <si>
    <t>機械装置費（50万円以上）</t>
  </si>
  <si>
    <t>機械装置費（50万円未満）</t>
  </si>
  <si>
    <t>専門家経費</t>
  </si>
  <si>
    <t>クラウド利用費</t>
  </si>
  <si>
    <t>ＳＴＥＰ　4　</t>
  </si>
  <si>
    <t>人件費の計算の準備</t>
  </si>
  <si>
    <t>（切捨て）</t>
  </si>
  <si>
    <t>補助対象経費</t>
  </si>
  <si>
    <t>補助対象経費の（2/3）</t>
  </si>
  <si>
    <t>●年間総支給額</t>
  </si>
  <si>
    <t>●年間法定福利費</t>
  </si>
  <si>
    <t>■操作手順</t>
  </si>
  <si>
    <t>事業に要する経費</t>
  </si>
  <si>
    <t xml:space="preserve">補助対象経費
</t>
  </si>
  <si>
    <t>(Ａ)</t>
  </si>
  <si>
    <t>(Ｂ)</t>
  </si>
  <si>
    <t>(Ｃ)</t>
  </si>
  <si>
    <t>共通事項</t>
  </si>
  <si>
    <t>外注加工費は補助対象経費の1/2を超えていないか</t>
  </si>
  <si>
    <t>委託費は補助対象経費の1/2を超えていないか</t>
  </si>
  <si>
    <t>上記の合計額が補助対象経費の1/2を超えていないか。</t>
  </si>
  <si>
    <t>その他経費の制限</t>
  </si>
  <si>
    <t>知的財産権関連経費が補助対象経費の1/3を超えていないか。</t>
  </si>
  <si>
    <t>（事業者名：</t>
  </si>
  <si>
    <t>機械装置費を優先した残りの補助金交付申請額</t>
  </si>
  <si>
    <t xml:space="preserve">機械装置費を除く合計額の補助金交付申請額の上限 </t>
  </si>
  <si>
    <t>-</t>
  </si>
  <si>
    <t>この申請の事業類型は、</t>
  </si>
  <si>
    <t>積算基礎</t>
  </si>
  <si>
    <t>要対応は　　× 並びに</t>
  </si>
  <si>
    <t>11月</t>
  </si>
  <si>
    <t>（税抜き）</t>
  </si>
  <si>
    <t>事業形態</t>
  </si>
  <si>
    <t>「機械装置費（50万円以上）」から「クラウド利用費費」まで該当の「費目別経費支出明細書」へ見積書等の証拠書類をもとに入力してください。</t>
  </si>
  <si>
    <t>見積書等の証拠書類をもとに、各経費のそれぞれの単価・数量・内容を入力すると、経費明細へ自動的に反映されます。</t>
  </si>
  <si>
    <t>機械装置費（50万円以上）</t>
  </si>
  <si>
    <t>機械装置費（50万円未満）</t>
  </si>
  <si>
    <t>2015年1月</t>
  </si>
  <si>
    <t>日</t>
  </si>
  <si>
    <t>・算定期間内に入社した場合は、このシートに入社月から日数を入力してください。</t>
  </si>
  <si>
    <t>・年間理論総労働時間算定表（１）と異なる所定労働時間の場合も、このシートを活用してください。</t>
  </si>
  <si>
    <t>・この期間内の入社者は、期間の取り方が違うため、別シートを作成してください。</t>
  </si>
  <si>
    <t>判定１</t>
  </si>
  <si>
    <t>判定２</t>
  </si>
  <si>
    <t>判定３</t>
  </si>
  <si>
    <t>目次</t>
  </si>
  <si>
    <t>シート名</t>
  </si>
  <si>
    <t>日本標準産業分類</t>
  </si>
  <si>
    <t>原材料費</t>
  </si>
  <si>
    <t>知的財産権等関連経費</t>
  </si>
  <si>
    <t>雑役務費</t>
  </si>
  <si>
    <t>対象者一覧</t>
  </si>
  <si>
    <t>総労働時間算定表（１）</t>
  </si>
  <si>
    <t>総労働時間算定表（２）</t>
  </si>
  <si>
    <t>賃金台帳（１）</t>
  </si>
  <si>
    <t>賃金台帳（２）</t>
  </si>
  <si>
    <t>賃金台帳（３）</t>
  </si>
  <si>
    <t>賃金台帳（４）</t>
  </si>
  <si>
    <t>賃金台帳（５）</t>
  </si>
  <si>
    <t>賃金台帳（６）</t>
  </si>
  <si>
    <t>賃金台帳（７）</t>
  </si>
  <si>
    <t>賃金台帳（８）</t>
  </si>
  <si>
    <t>賃金台帳（９）</t>
  </si>
  <si>
    <t>賃金台帳（１０）</t>
  </si>
  <si>
    <t>賃金台帳（１１）</t>
  </si>
  <si>
    <t>賃金台帳（１２）</t>
  </si>
  <si>
    <t>・年間理論総労働時間は、賃金台帳・対象者一覧表へ反映されませんので修正をしてください。</t>
  </si>
  <si>
    <t>※算定期間は、「時間単価算出のための人件費対象者賃金台帳」の作成期間と同一です。</t>
  </si>
  <si>
    <r>
      <rPr>
        <sz val="11"/>
        <color indexed="8"/>
        <rFont val="ＭＳ Ｐゴシック"/>
        <family val="3"/>
      </rPr>
      <t>～3</t>
    </r>
    <r>
      <rPr>
        <sz val="11"/>
        <color indexed="8"/>
        <rFont val="ＭＳ Ｐゴシック"/>
        <family val="3"/>
      </rPr>
      <t>月</t>
    </r>
  </si>
  <si>
    <t>8月</t>
  </si>
  <si>
    <t>2月</t>
  </si>
  <si>
    <t>6月</t>
  </si>
  <si>
    <r>
      <t>　に給与および賞与等の文字・データ</t>
    </r>
    <r>
      <rPr>
        <sz val="11"/>
        <color indexed="10"/>
        <rFont val="ＭＳ Ｐゴシック"/>
        <family val="3"/>
      </rPr>
      <t>（金額の場合はカンマなど不要です）</t>
    </r>
    <r>
      <rPr>
        <sz val="11"/>
        <color theme="1"/>
        <rFont val="Calibri"/>
        <family val="3"/>
      </rPr>
      <t>を入力して下さい。</t>
    </r>
  </si>
  <si>
    <t>平成　　年　　月　　日</t>
  </si>
  <si>
    <t>㊞</t>
  </si>
  <si>
    <t>11月</t>
  </si>
  <si>
    <t>+</t>
  </si>
  <si>
    <t>÷</t>
  </si>
  <si>
    <t>＝</t>
  </si>
  <si>
    <t>　</t>
  </si>
  <si>
    <t>この値を使用する場合、【賃金台帳】ｾﾙQ50と【対象者一覧表】下段の年間理論総労働時間を修正してください。</t>
  </si>
  <si>
    <r>
      <t>月をSTEP3の賃金台帳の期間にあわせて、会社ｶﾚﾝﾀﾞｰから労働日数を入力欄（</t>
    </r>
    <r>
      <rPr>
        <sz val="12"/>
        <color indexed="47"/>
        <rFont val="ＭＳ ゴシック"/>
        <family val="3"/>
      </rPr>
      <t>■</t>
    </r>
    <r>
      <rPr>
        <sz val="12"/>
        <rFont val="ＭＳ ゴシック"/>
        <family val="3"/>
      </rPr>
      <t>のセル</t>
    </r>
    <r>
      <rPr>
        <sz val="12"/>
        <color indexed="8"/>
        <rFont val="ＭＳ ゴシック"/>
        <family val="3"/>
      </rPr>
      <t>）に入力します。</t>
    </r>
  </si>
  <si>
    <t>従事予定期間の各給与支払月と、その月（事業者の締日翌日から締日までの期間）に従事する見積時間数を入力します。</t>
  </si>
  <si>
    <t>例）　　　27年10月　　　　75.00時間</t>
  </si>
  <si>
    <t>⇓</t>
  </si>
  <si>
    <t>　　　25日〆翌月10日払の場合　　10/10給与支払　　8/26～9/25従事予定時間数</t>
  </si>
  <si>
    <t>　　　20日〆当月末日払の場合　　10/31給与支払　　9/21～10/20従事予定時間数</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</si>
  <si>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t>
    </r>
  </si>
  <si>
    <t>「×」の場合、判定１～判定3参照</t>
  </si>
  <si>
    <t>戻る</t>
  </si>
  <si>
    <t>戻る</t>
  </si>
  <si>
    <t>戻る</t>
  </si>
  <si>
    <t>直接人件費明細書(1)</t>
  </si>
  <si>
    <t>直接人件費明細書(2)</t>
  </si>
  <si>
    <t>下記の各費用項目をクリックすると対象のシートに移動します。</t>
  </si>
  <si>
    <t xml:space="preserve">   事業主負担のみのため、給与明細には記載されません。</t>
  </si>
  <si>
    <t>●提出用・ファイリング用として印刷してください。</t>
  </si>
  <si>
    <t>←該当費目の額</t>
  </si>
  <si>
    <t>直接人件費明細書</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</si>
  <si>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</si>
  <si>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</si>
  <si>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</si>
  <si>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</si>
  <si>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</si>
  <si>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</si>
  <si>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</si>
  <si>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</si>
  <si>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</si>
  <si>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</si>
  <si>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</si>
  <si>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ＣＣ株式会社</t>
  </si>
  <si>
    <t>金属Ａ</t>
  </si>
  <si>
    <t>金属Ｂ</t>
  </si>
  <si>
    <t>合金Ａ</t>
  </si>
  <si>
    <t>合金Ｂ</t>
  </si>
  <si>
    <t>Ｄ株式会社</t>
  </si>
  <si>
    <t>○○指導</t>
  </si>
  <si>
    <t>Ｅ株式会社</t>
  </si>
  <si>
    <t>切削加工</t>
  </si>
  <si>
    <t>件</t>
  </si>
  <si>
    <t>○○市工業研究所</t>
  </si>
  <si>
    <t>○○の委託研究開発</t>
  </si>
  <si>
    <t>○○研究所</t>
  </si>
  <si>
    <t>○○技術について</t>
  </si>
  <si>
    <t>○○運輸</t>
  </si>
  <si>
    <t>○○機材</t>
  </si>
  <si>
    <t>個</t>
  </si>
  <si>
    <t>○○弁理士</t>
  </si>
  <si>
    <t>○○派遣組合</t>
  </si>
  <si>
    <t>○○株式会社</t>
  </si>
  <si>
    <t>機械設計</t>
  </si>
  <si>
    <t>山田　美子</t>
  </si>
  <si>
    <t>設計部</t>
  </si>
  <si>
    <t>チーフ</t>
  </si>
  <si>
    <t>田中　丑男</t>
  </si>
  <si>
    <t>加藤　寅乃介</t>
  </si>
  <si>
    <t>部長</t>
  </si>
  <si>
    <t>山本　卯助</t>
  </si>
  <si>
    <t>佐藤　辰一郎</t>
  </si>
  <si>
    <t>課長</t>
  </si>
  <si>
    <t>製造</t>
  </si>
  <si>
    <t>渡辺　克巳</t>
  </si>
  <si>
    <t>製造部</t>
  </si>
  <si>
    <t>後藤　午太郎</t>
  </si>
  <si>
    <t>太田　未来</t>
  </si>
  <si>
    <t>原田　申也</t>
  </si>
  <si>
    <t>西村　酉汰</t>
  </si>
  <si>
    <t>斎藤　戌</t>
  </si>
  <si>
    <t>酒井　亥</t>
  </si>
  <si>
    <t>○○作業
（1日7H×20日）</t>
  </si>
  <si>
    <t>○○作業
（20日）</t>
  </si>
  <si>
    <t>日</t>
  </si>
  <si>
    <t>初期費用</t>
  </si>
  <si>
    <t>固定料金費用</t>
  </si>
  <si>
    <t>従量制料金費用</t>
  </si>
  <si>
    <t>直接人件費明細書（2）</t>
  </si>
  <si>
    <t>直接人件費明細書（1）</t>
  </si>
  <si>
    <t>)</t>
  </si>
  <si>
    <t>月</t>
  </si>
  <si>
    <t>件</t>
  </si>
  <si>
    <t>調整される補助金の額</t>
  </si>
  <si>
    <t>調整する件数</t>
  </si>
  <si>
    <t/>
  </si>
  <si>
    <t>変更額　チェックシート(変更後の補助金額が予算額のそれと比較して２０%を超える場合は変更申請が必要となります。)</t>
  </si>
  <si>
    <t>補助金交付決定額</t>
  </si>
  <si>
    <t>補助金の額</t>
  </si>
  <si>
    <t>機械装置費（50万円未満）</t>
  </si>
  <si>
    <t>直接人件費</t>
  </si>
  <si>
    <t>技術導入費</t>
  </si>
  <si>
    <t>外注加工費</t>
  </si>
  <si>
    <t>委託費</t>
  </si>
  <si>
    <t>知的財産権等関連経費</t>
  </si>
  <si>
    <t>運搬費</t>
  </si>
  <si>
    <t>専門家経費</t>
  </si>
  <si>
    <t>雑役務費</t>
  </si>
  <si>
    <t>クラウド利用費</t>
  </si>
  <si>
    <t>変更前の補助金－変更後の補助金</t>
  </si>
  <si>
    <t>変更前の補助金×２０%</t>
  </si>
  <si>
    <t>様式第３－１の別紙</t>
  </si>
  <si>
    <t>様式第３－１の別紙</t>
  </si>
  <si>
    <t>様式第３－１の別紙　直接人件費支出対象者一覧表</t>
  </si>
  <si>
    <t>基本情報入力（使い方）</t>
  </si>
  <si>
    <t>Ｈ</t>
  </si>
  <si>
    <t>ＴＢ</t>
  </si>
  <si>
    <t>Ｂ金属株式会社</t>
  </si>
  <si>
    <t>戻る</t>
  </si>
  <si>
    <t>色の変わったセル(総額違反)</t>
  </si>
  <si>
    <t>機械装置費は補助対象経費の総額５０万円未満にすること</t>
  </si>
  <si>
    <t>なし</t>
  </si>
  <si>
    <t>－</t>
  </si>
  <si>
    <t>（単位：円）</t>
  </si>
  <si>
    <t>予算変更後　計算シート</t>
  </si>
  <si>
    <t>変動</t>
  </si>
  <si>
    <t>変　　更　　後</t>
  </si>
  <si>
    <t>事業に要する経費</t>
  </si>
  <si>
    <t>補助対象経費（税抜き）</t>
  </si>
  <si>
    <t>（税込み）</t>
  </si>
  <si>
    <t>（税抜き）</t>
  </si>
  <si>
    <t>((B)×2/3以内)</t>
  </si>
  <si>
    <t>上限調整後</t>
  </si>
  <si>
    <t>((b)×2/3以内)</t>
  </si>
  <si>
    <t>注．事業に要する経費(A.税込みの額)</t>
  </si>
  <si>
    <t>↑</t>
  </si>
  <si>
    <t>↑</t>
  </si>
  <si>
    <t>↑</t>
  </si>
  <si>
    <t>＝</t>
  </si>
  <si>
    <t>↓</t>
  </si>
  <si>
    <t>＝</t>
  </si>
  <si>
    <t>＝</t>
  </si>
  <si>
    <t>＝</t>
  </si>
  <si>
    <t>＝</t>
  </si>
  <si>
    <t>(ａ)</t>
  </si>
  <si>
    <t>(ｂ)</t>
  </si>
  <si>
    <t>(c)</t>
  </si>
  <si>
    <t>↑</t>
  </si>
  <si>
    <t>ｋｇ</t>
  </si>
  <si>
    <t>ｇ</t>
  </si>
  <si>
    <t>様式第３－１別紙１　（新旧対比表）</t>
  </si>
  <si>
    <t>様式第３－１別紙１　（新旧対比表）</t>
  </si>
  <si>
    <t>様式３－１別紙１　経費明細表を作成して下さい。</t>
  </si>
  <si>
    <t>様式第３－１別紙１　新旧対比表</t>
  </si>
  <si>
    <t>変　　更　　前　（交付決定額）</t>
  </si>
  <si>
    <t>を作成するために用意したものです。</t>
  </si>
  <si>
    <t>このエクセルは事務処理の手引きの計画変更承認申請書　様式第３－１別紙１　新旧対比表</t>
  </si>
  <si>
    <t>上限調整前</t>
  </si>
  <si>
    <t>●「変更前」の「事業に要する経費（税込）」「事業に要する経費（税抜）」「補助対象経費（税抜）」欄に、交付申請（決定）時の金額を手入力してください。</t>
  </si>
  <si>
    <t>●「変更後」の「補助対象経費（税抜）：上限調整後」欄に、下記の調整事項を考慮し手入力してください。</t>
  </si>
  <si>
    <t>　　（超えた場合は、機械装置費、直接人件費以外の各費目で按分して減額調整することをおすすめします。）</t>
  </si>
  <si>
    <t>　・「変更後」の「補助対象経費（税抜き）」合計額は、「変更前」の「補助対象経費（税抜き）」合計額を超えることはできません。</t>
  </si>
  <si>
    <t>　・「変更後」の「直接人件費」の「補助対象経費（税抜き）」は、「変更前」の「直接人件費」の「補助対象経費（税抜き）」を超えることはできません。</t>
  </si>
  <si>
    <t>補助金交付決定額</t>
  </si>
  <si>
    <r>
      <rPr>
        <strike/>
        <sz val="12"/>
        <color indexed="8"/>
        <rFont val="ＭＳ ゴシック"/>
        <family val="3"/>
      </rPr>
      <t>資金（借入金）の調達先を入力してください。</t>
    </r>
    <r>
      <rPr>
        <sz val="12"/>
        <color indexed="8"/>
        <rFont val="ＭＳ ゴシック"/>
        <family val="3"/>
      </rPr>
      <t>（←省略してください。）</t>
    </r>
  </si>
  <si>
    <r>
      <rPr>
        <strike/>
        <sz val="12"/>
        <color indexed="8"/>
        <rFont val="ＭＳ ゴシック"/>
        <family val="3"/>
      </rPr>
      <t>経理担当者の役職氏名TELを入力してください。</t>
    </r>
    <r>
      <rPr>
        <sz val="12"/>
        <color indexed="8"/>
        <rFont val="ＭＳ ゴシック"/>
        <family val="3"/>
      </rPr>
      <t>（←省略してください。）</t>
    </r>
  </si>
  <si>
    <t>【様式第３－１別紙１】①費目別経費支出明細書</t>
  </si>
  <si>
    <t>●「変更後」の「事業に要する経費（税込）」「事業に要する経費（税抜）」「補助対象経費（税抜）：上限調整前」欄の金額は、各費目のシート（費目別経費支出明細書及び直接人件費明細書）からリンク表示されます。</t>
  </si>
  <si>
    <t>2014年10月</t>
  </si>
  <si>
    <t>2015年4月</t>
  </si>
  <si>
    <t>7月</t>
  </si>
  <si>
    <t>2月</t>
  </si>
  <si>
    <t>8月</t>
  </si>
  <si>
    <t>2014年10月</t>
  </si>
  <si>
    <t>2015年4月</t>
  </si>
  <si>
    <t>2015年1月</t>
  </si>
  <si>
    <t>■　年間総支給額</t>
  </si>
  <si>
    <t>～8月</t>
  </si>
  <si>
    <t>↓</t>
  </si>
  <si>
    <t>11月</t>
  </si>
  <si>
    <t>2月</t>
  </si>
  <si>
    <t>6月</t>
  </si>
  <si>
    <t>7月</t>
  </si>
  <si>
    <t>7月</t>
  </si>
  <si>
    <t>8月</t>
  </si>
  <si>
    <t>9月</t>
  </si>
  <si>
    <t>9月</t>
  </si>
  <si>
    <t>賃　金　・賞　与　　　合　　計</t>
  </si>
  <si>
    <t>　健 康 保 険 　　　　標準報酬月額（適用月から変更）　　</t>
  </si>
  <si>
    <t>　厚生年金保険　　　標準報酬月額（適用月から変更）</t>
  </si>
  <si>
    <t>-</t>
  </si>
  <si>
    <t>厚生年金保険(15年8月まで)</t>
  </si>
  <si>
    <t>厚生年金保険(15年9月から)</t>
  </si>
  <si>
    <t>　</t>
  </si>
  <si>
    <t>■　年間総支給額</t>
  </si>
  <si>
    <t>↓</t>
  </si>
  <si>
    <t>11月</t>
  </si>
  <si>
    <t>2月</t>
  </si>
  <si>
    <t>6月</t>
  </si>
  <si>
    <t>7月</t>
  </si>
  <si>
    <t>8月</t>
  </si>
  <si>
    <t>9月</t>
  </si>
  <si>
    <t>-</t>
  </si>
  <si>
    <t>■　年間総支給額</t>
  </si>
  <si>
    <t>↓</t>
  </si>
  <si>
    <t>11月</t>
  </si>
  <si>
    <t>2月</t>
  </si>
  <si>
    <t>6月</t>
  </si>
  <si>
    <t>7月</t>
  </si>
  <si>
    <t>8月</t>
  </si>
  <si>
    <t>9月</t>
  </si>
  <si>
    <t>-</t>
  </si>
  <si>
    <t>■　年間総支給額</t>
  </si>
  <si>
    <t>↓</t>
  </si>
  <si>
    <t>11月</t>
  </si>
  <si>
    <t>2月</t>
  </si>
  <si>
    <t>6月</t>
  </si>
  <si>
    <t>7月</t>
  </si>
  <si>
    <t>8月</t>
  </si>
  <si>
    <t>9月</t>
  </si>
  <si>
    <t>-</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</si>
</sst>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quot;こ&quot;&quot;の&quot;&quot;申&quot;&quot;請&quot;&quot;の&quot;&quot;事&quot;&quot;業&quot;&quot;類&quot;&quot;型&quot;&quot;は&quot;\,"/>
    <numFmt numFmtId="226" formatCode="&quot;この事業申請類型は&quot;"/>
    <numFmt numFmtId="227" formatCode="&quot;この事業申請類型は&quot;@"/>
  </numFmts>
  <fonts count="220">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1"/>
      <name val="ＭＳ 明朝"/>
      <family val="1"/>
    </font>
    <font>
      <sz val="11"/>
      <name val="ＭＳ ゴシック"/>
      <family val="3"/>
    </font>
    <font>
      <b/>
      <sz val="14"/>
      <color indexed="8"/>
      <name val="ＭＳ Ｐゴシック"/>
      <family val="3"/>
    </font>
    <font>
      <b/>
      <sz val="18"/>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明朝"/>
      <family val="1"/>
    </font>
    <font>
      <sz val="16"/>
      <name val="ＭＳ ゴシック"/>
      <family val="3"/>
    </font>
    <font>
      <sz val="12"/>
      <name val="ＭＳ Ｐゴシック"/>
      <family val="3"/>
    </font>
    <font>
      <sz val="8"/>
      <color indexed="8"/>
      <name val="ＭＳ 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14"/>
      <color indexed="8"/>
      <name val="ＭＳ Ｐゴシック"/>
      <family val="3"/>
    </font>
    <font>
      <sz val="10"/>
      <color indexed="30"/>
      <name val="ＭＳ Ｐゴシック"/>
      <family val="3"/>
    </font>
    <font>
      <b/>
      <sz val="10"/>
      <color indexed="30"/>
      <name val="ＭＳ Ｐゴシック"/>
      <family val="3"/>
    </font>
    <font>
      <sz val="11"/>
      <color indexed="10"/>
      <name val="ＭＳ Ｐゴシック"/>
      <family val="3"/>
    </font>
    <font>
      <sz val="11"/>
      <color indexed="23"/>
      <name val="ＭＳ Ｐゴシック"/>
      <family val="3"/>
    </font>
    <font>
      <sz val="12"/>
      <color indexed="8"/>
      <name val="ＭＳ ゴシック"/>
      <family val="3"/>
    </font>
    <font>
      <sz val="12"/>
      <color indexed="10"/>
      <name val="ＭＳ ゴシック"/>
      <family val="3"/>
    </font>
    <font>
      <sz val="12"/>
      <color indexed="17"/>
      <name val="ＭＳ ゴシック"/>
      <family val="3"/>
    </font>
    <font>
      <b/>
      <sz val="14"/>
      <name val="ＭＳ Ｐゴシック"/>
      <family val="3"/>
    </font>
    <font>
      <b/>
      <sz val="9"/>
      <name val="ＭＳ Ｐゴシック"/>
      <family val="3"/>
    </font>
    <font>
      <sz val="9"/>
      <name val="ＭＳ Ｐゴシック"/>
      <family val="3"/>
    </font>
    <font>
      <sz val="18"/>
      <name val="ＭＳ 明朝"/>
      <family val="1"/>
    </font>
    <font>
      <b/>
      <sz val="18"/>
      <name val="ＭＳ 明朝"/>
      <family val="1"/>
    </font>
    <font>
      <sz val="12"/>
      <color indexed="47"/>
      <name val="ＭＳ ゴシック"/>
      <family val="3"/>
    </font>
    <font>
      <sz val="14"/>
      <name val="ＭＳ Ｐゴシック"/>
      <family val="3"/>
    </font>
    <font>
      <strike/>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sz val="10.5"/>
      <color indexed="8"/>
      <name val="ＭＳ ゴシック"/>
      <family val="3"/>
    </font>
    <font>
      <sz val="8"/>
      <color indexed="8"/>
      <name val="ＭＳ Ｐゴシック"/>
      <family val="3"/>
    </font>
    <font>
      <sz val="10"/>
      <color indexed="8"/>
      <name val="ＭＳ ゴシック"/>
      <family val="3"/>
    </font>
    <font>
      <sz val="9"/>
      <color indexed="8"/>
      <name val="ＭＳ 明朝"/>
      <family val="1"/>
    </font>
    <font>
      <sz val="12"/>
      <color indexed="8"/>
      <name val="ＭＳ Ｐゴシック"/>
      <family val="3"/>
    </font>
    <font>
      <sz val="11"/>
      <color indexed="8"/>
      <name val="ＭＳ 明朝"/>
      <family val="1"/>
    </font>
    <font>
      <b/>
      <sz val="11"/>
      <color indexed="8"/>
      <name val="ＭＳ ゴシック"/>
      <family val="3"/>
    </font>
    <font>
      <sz val="11"/>
      <color indexed="53"/>
      <name val="ＭＳ Ｐゴシック"/>
      <family val="3"/>
    </font>
    <font>
      <b/>
      <sz val="18"/>
      <name val="ＭＳ Ｐゴシック"/>
      <family val="3"/>
    </font>
    <font>
      <sz val="9"/>
      <color indexed="8"/>
      <name val="ＭＳ ゴシック"/>
      <family val="3"/>
    </font>
    <font>
      <sz val="14"/>
      <color indexed="8"/>
      <name val="ＭＳ 明朝"/>
      <family val="1"/>
    </font>
    <font>
      <sz val="14"/>
      <color indexed="8"/>
      <name val="ＭＳ ゴシック"/>
      <family val="3"/>
    </font>
    <font>
      <b/>
      <sz val="12"/>
      <color indexed="8"/>
      <name val="ＭＳ ゴシック"/>
      <family val="3"/>
    </font>
    <font>
      <u val="single"/>
      <sz val="12"/>
      <color indexed="8"/>
      <name val="ＭＳ ゴシック"/>
      <family val="3"/>
    </font>
    <font>
      <u val="single"/>
      <sz val="11"/>
      <color indexed="8"/>
      <name val="ＭＳ Ｐゴシック"/>
      <family val="3"/>
    </font>
    <font>
      <b/>
      <sz val="12"/>
      <color indexed="8"/>
      <name val="ＭＳ Ｐゴシック"/>
      <family val="3"/>
    </font>
    <font>
      <b/>
      <sz val="10"/>
      <color indexed="8"/>
      <name val="ＭＳ Ｐゴシック"/>
      <family val="3"/>
    </font>
    <font>
      <sz val="12"/>
      <color indexed="10"/>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u val="single"/>
      <sz val="18"/>
      <color indexed="8"/>
      <name val="ＭＳ ゴシック"/>
      <family val="3"/>
    </font>
    <font>
      <b/>
      <sz val="14"/>
      <color indexed="9"/>
      <name val="ＭＳ Ｐゴシック"/>
      <family val="3"/>
    </font>
    <font>
      <b/>
      <sz val="12"/>
      <color indexed="10"/>
      <name val="ＭＳ Ｐゴシック"/>
      <family val="3"/>
    </font>
    <font>
      <sz val="12"/>
      <color indexed="55"/>
      <name val="ＭＳ Ｐゴシック"/>
      <family val="3"/>
    </font>
    <font>
      <b/>
      <u val="single"/>
      <sz val="14"/>
      <color indexed="8"/>
      <name val="ＭＳ Ｐゴシック"/>
      <family val="3"/>
    </font>
    <font>
      <sz val="12"/>
      <color indexed="9"/>
      <name val="ＭＳ ゴシック"/>
      <family val="3"/>
    </font>
    <font>
      <sz val="12"/>
      <color indexed="30"/>
      <name val="ＭＳ ゴシック"/>
      <family val="3"/>
    </font>
    <font>
      <sz val="14"/>
      <color indexed="10"/>
      <name val="ＭＳ Ｐゴシック"/>
      <family val="3"/>
    </font>
    <font>
      <b/>
      <sz val="22"/>
      <name val="ＭＳ Ｐゴシック"/>
      <family val="3"/>
    </font>
    <font>
      <b/>
      <sz val="16"/>
      <name val="ＭＳ Ｐゴシック"/>
      <family val="3"/>
    </font>
    <font>
      <b/>
      <sz val="14"/>
      <color indexed="8"/>
      <name val="ＭＳ ゴシック"/>
      <family val="3"/>
    </font>
    <font>
      <b/>
      <sz val="16"/>
      <color indexed="8"/>
      <name val="ＭＳ Ｐゴシック"/>
      <family val="3"/>
    </font>
    <font>
      <sz val="14"/>
      <color indexed="14"/>
      <name val="ＭＳ Ｐゴシック"/>
      <family val="3"/>
    </font>
    <font>
      <sz val="12"/>
      <color indexed="9"/>
      <name val="ＭＳ Ｐゴシック"/>
      <family val="3"/>
    </font>
    <font>
      <b/>
      <sz val="9"/>
      <color indexed="10"/>
      <name val="ＭＳ Ｐゴシック"/>
      <family val="3"/>
    </font>
    <font>
      <b/>
      <sz val="16"/>
      <color indexed="10"/>
      <name val="ＭＳ Ｐゴシック"/>
      <family val="3"/>
    </font>
    <font>
      <b/>
      <sz val="16"/>
      <color indexed="8"/>
      <name val="ＭＳ ゴシック"/>
      <family val="3"/>
    </font>
    <font>
      <sz val="26"/>
      <name val="ＭＳ Ｐゴシック"/>
      <family val="3"/>
    </font>
    <font>
      <u val="single"/>
      <sz val="16"/>
      <color indexed="8"/>
      <name val="ＭＳ ゴシック"/>
      <family val="3"/>
    </font>
    <font>
      <b/>
      <u val="single"/>
      <sz val="12"/>
      <color indexed="8"/>
      <name val="ＭＳ ゴシック"/>
      <family val="3"/>
    </font>
    <font>
      <b/>
      <sz val="20"/>
      <name val="ＭＳ Ｐゴシック"/>
      <family val="3"/>
    </font>
    <font>
      <b/>
      <sz val="36"/>
      <name val="ＭＳ Ｐゴシック"/>
      <family val="3"/>
    </font>
    <font>
      <sz val="16"/>
      <color indexed="14"/>
      <name val="ＭＳ ゴシック"/>
      <family val="3"/>
    </font>
    <font>
      <b/>
      <sz val="14"/>
      <color indexed="56"/>
      <name val="ＭＳ Ｐゴシック"/>
      <family val="3"/>
    </font>
    <font>
      <sz val="14"/>
      <color indexed="56"/>
      <name val="ＭＳ Ｐゴシック"/>
      <family val="3"/>
    </font>
    <font>
      <sz val="16"/>
      <color indexed="8"/>
      <name val="ＭＳ Ｐゴシック"/>
      <family val="3"/>
    </font>
    <font>
      <sz val="12"/>
      <color indexed="3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sz val="10.5"/>
      <color theme="1"/>
      <name val="ＭＳ ゴシック"/>
      <family val="3"/>
    </font>
    <font>
      <sz val="8"/>
      <color theme="1"/>
      <name val="ＭＳ Ｐゴシック"/>
      <family val="3"/>
    </font>
    <font>
      <sz val="10"/>
      <color theme="1"/>
      <name val="ＭＳ ゴシック"/>
      <family val="3"/>
    </font>
    <font>
      <sz val="9"/>
      <color theme="1"/>
      <name val="ＭＳ 明朝"/>
      <family val="1"/>
    </font>
    <font>
      <b/>
      <sz val="14"/>
      <color theme="1"/>
      <name val="Calibri"/>
      <family val="3"/>
    </font>
    <font>
      <sz val="14"/>
      <name val="Calibri"/>
      <family val="3"/>
    </font>
    <font>
      <sz val="11"/>
      <color theme="1"/>
      <name val="ＭＳ Ｐゴシック"/>
      <family val="3"/>
    </font>
    <font>
      <sz val="12"/>
      <color theme="1"/>
      <name val="ＭＳ Ｐゴシック"/>
      <family val="3"/>
    </font>
    <font>
      <sz val="12"/>
      <name val="Calibri"/>
      <family val="3"/>
    </font>
    <font>
      <sz val="11"/>
      <color theme="1"/>
      <name val="ＭＳ 明朝"/>
      <family val="1"/>
    </font>
    <font>
      <b/>
      <sz val="11"/>
      <color theme="1"/>
      <name val="ＭＳ ゴシック"/>
      <family val="3"/>
    </font>
    <font>
      <sz val="11"/>
      <color theme="9" tint="-0.24997000396251678"/>
      <name val="Calibri"/>
      <family val="3"/>
    </font>
    <font>
      <b/>
      <sz val="18"/>
      <name val="Calibri"/>
      <family val="3"/>
    </font>
    <font>
      <b/>
      <sz val="14"/>
      <name val="Calibri"/>
      <family val="3"/>
    </font>
    <font>
      <sz val="18"/>
      <name val="Calibri"/>
      <family val="3"/>
    </font>
    <font>
      <sz val="9"/>
      <color theme="1"/>
      <name val="ＭＳ ゴシック"/>
      <family val="3"/>
    </font>
    <font>
      <sz val="14"/>
      <color theme="1"/>
      <name val="ＭＳ 明朝"/>
      <family val="1"/>
    </font>
    <font>
      <sz val="14"/>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u val="single"/>
      <sz val="11"/>
      <color theme="1"/>
      <name val="Calibri"/>
      <family val="3"/>
    </font>
    <font>
      <b/>
      <sz val="11"/>
      <name val="Calibri"/>
      <family val="3"/>
    </font>
    <font>
      <sz val="9"/>
      <name val="Calibri"/>
      <family val="3"/>
    </font>
    <font>
      <sz val="8"/>
      <color theme="1"/>
      <name val="Calibri"/>
      <family val="3"/>
    </font>
    <font>
      <b/>
      <sz val="12"/>
      <color theme="1"/>
      <name val="Calibri"/>
      <family val="3"/>
    </font>
    <font>
      <b/>
      <sz val="10"/>
      <color theme="1"/>
      <name val="Calibri"/>
      <family val="3"/>
    </font>
    <font>
      <sz val="12"/>
      <color rgb="FFFF0000"/>
      <name val="Calibri"/>
      <family val="3"/>
    </font>
    <font>
      <b/>
      <sz val="9"/>
      <name val="Calibri"/>
      <family val="3"/>
    </font>
    <font>
      <b/>
      <sz val="12"/>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0"/>
      <color theme="1"/>
      <name val="ＭＳ Ｐゴシック"/>
      <family val="3"/>
    </font>
    <font>
      <sz val="18"/>
      <color theme="1"/>
      <name val="ＭＳ ゴシック"/>
      <family val="3"/>
    </font>
    <font>
      <u val="single"/>
      <sz val="10"/>
      <color theme="1"/>
      <name val="ＭＳ ゴシック"/>
      <family val="3"/>
    </font>
    <font>
      <u val="single"/>
      <sz val="18"/>
      <color theme="1"/>
      <name val="ＭＳ ゴシック"/>
      <family val="3"/>
    </font>
    <font>
      <sz val="16"/>
      <name val="Calibri"/>
      <family val="3"/>
    </font>
    <font>
      <sz val="10"/>
      <color rgb="FF0070C0"/>
      <name val="Calibri"/>
      <family val="3"/>
    </font>
    <font>
      <b/>
      <sz val="14"/>
      <color theme="0"/>
      <name val="Calibri"/>
      <family val="3"/>
    </font>
    <font>
      <b/>
      <sz val="10"/>
      <color rgb="FF0070C0"/>
      <name val="ＭＳ Ｐゴシック"/>
      <family val="3"/>
    </font>
    <font>
      <b/>
      <sz val="12"/>
      <color rgb="FFFF0000"/>
      <name val="Calibri"/>
      <family val="3"/>
    </font>
    <font>
      <sz val="12"/>
      <color theme="0" tint="-0.3499799966812134"/>
      <name val="Calibri"/>
      <family val="3"/>
    </font>
    <font>
      <b/>
      <u val="single"/>
      <sz val="14"/>
      <color theme="1"/>
      <name val="Calibri"/>
      <family val="3"/>
    </font>
    <font>
      <sz val="12"/>
      <color theme="0"/>
      <name val="ＭＳ ゴシック"/>
      <family val="3"/>
    </font>
    <font>
      <sz val="12"/>
      <color rgb="FF0070C0"/>
      <name val="ＭＳ ゴシック"/>
      <family val="3"/>
    </font>
    <font>
      <sz val="14"/>
      <color rgb="FFFF0000"/>
      <name val="Calibri"/>
      <family val="3"/>
    </font>
    <font>
      <b/>
      <sz val="22"/>
      <name val="Calibri"/>
      <family val="3"/>
    </font>
    <font>
      <b/>
      <sz val="16"/>
      <name val="Calibri"/>
      <family val="3"/>
    </font>
    <font>
      <b/>
      <sz val="14"/>
      <color theme="1"/>
      <name val="ＭＳ ゴシック"/>
      <family val="3"/>
    </font>
    <font>
      <b/>
      <sz val="16"/>
      <color theme="1"/>
      <name val="Calibri"/>
      <family val="3"/>
    </font>
    <font>
      <sz val="14"/>
      <color rgb="FFFF00FF"/>
      <name val="Calibri"/>
      <family val="3"/>
    </font>
    <font>
      <sz val="12"/>
      <color theme="0"/>
      <name val="Calibri"/>
      <family val="3"/>
    </font>
    <font>
      <sz val="12"/>
      <color theme="9" tint="0.7999799847602844"/>
      <name val="ＭＳ ゴシック"/>
      <family val="3"/>
    </font>
    <font>
      <b/>
      <sz val="9"/>
      <color rgb="FFFF0000"/>
      <name val="Calibri"/>
      <family val="3"/>
    </font>
    <font>
      <b/>
      <sz val="16"/>
      <color rgb="FFFF0000"/>
      <name val="Calibri"/>
      <family val="3"/>
    </font>
    <font>
      <b/>
      <sz val="16"/>
      <color theme="1"/>
      <name val="ＭＳ ゴシック"/>
      <family val="3"/>
    </font>
    <font>
      <sz val="26"/>
      <name val="Calibri"/>
      <family val="3"/>
    </font>
    <font>
      <u val="single"/>
      <sz val="16"/>
      <color theme="1"/>
      <name val="ＭＳ ゴシック"/>
      <family val="3"/>
    </font>
    <font>
      <b/>
      <u val="single"/>
      <sz val="12"/>
      <color theme="1"/>
      <name val="ＭＳ ゴシック"/>
      <family val="3"/>
    </font>
    <font>
      <b/>
      <sz val="11"/>
      <color rgb="FF002060"/>
      <name val="Calibri"/>
      <family val="3"/>
    </font>
    <font>
      <b/>
      <sz val="14"/>
      <color theme="1"/>
      <name val="ＭＳ Ｐゴシック"/>
      <family val="3"/>
    </font>
    <font>
      <strike/>
      <sz val="12"/>
      <color theme="1"/>
      <name val="ＭＳ ゴシック"/>
      <family val="3"/>
    </font>
    <font>
      <sz val="12"/>
      <color rgb="FFFF0000"/>
      <name val="ＭＳ ゴシック"/>
      <family val="3"/>
    </font>
    <font>
      <sz val="14"/>
      <color theme="1"/>
      <name val="ＭＳ Ｐゴシック"/>
      <family val="3"/>
    </font>
    <font>
      <b/>
      <sz val="14"/>
      <color rgb="FF002060"/>
      <name val="Calibri"/>
      <family val="3"/>
    </font>
    <font>
      <sz val="14"/>
      <color rgb="FF002060"/>
      <name val="Calibri"/>
      <family val="3"/>
    </font>
    <font>
      <sz val="16"/>
      <color theme="1"/>
      <name val="ＭＳ Ｐゴシック"/>
      <family val="3"/>
    </font>
    <font>
      <sz val="16"/>
      <color rgb="FFFF00FF"/>
      <name val="ＭＳ ゴシック"/>
      <family val="3"/>
    </font>
    <font>
      <b/>
      <sz val="36"/>
      <name val="Calibri"/>
      <family val="3"/>
    </font>
    <font>
      <b/>
      <sz val="20"/>
      <name val="Calibri"/>
      <family val="3"/>
    </font>
    <font>
      <sz val="11"/>
      <color theme="0" tint="-0.4999699890613556"/>
      <name val="Calibri"/>
      <family val="3"/>
    </font>
    <font>
      <sz val="12"/>
      <color rgb="FF0070C0"/>
      <name val="Calibri"/>
      <family val="3"/>
    </font>
    <font>
      <b/>
      <sz val="14"/>
      <color indexed="8"/>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8"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FF"/>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medium"/>
      <right/>
      <top style="medium"/>
      <bottom style="medium"/>
    </border>
    <border>
      <left>
        <color indexed="63"/>
      </left>
      <right style="medium"/>
      <top style="medium"/>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medium"/>
      <top style="medium"/>
      <bottom style="mediu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style="thin"/>
      <right style="medium"/>
      <top style="thin"/>
      <bottom style="thin"/>
    </border>
    <border>
      <left/>
      <right/>
      <top style="medium"/>
      <bottom style="medium"/>
    </border>
    <border>
      <left style="medium"/>
      <right style="thin"/>
      <top style="medium"/>
      <bottom style="thin"/>
    </border>
    <border>
      <left/>
      <right style="medium"/>
      <top style="medium"/>
      <bottom style="thin"/>
    </border>
    <border>
      <left style="thin"/>
      <right style="medium"/>
      <top style="medium"/>
      <bottom style="thin"/>
    </border>
    <border>
      <left>
        <color indexed="63"/>
      </left>
      <right style="medium"/>
      <top style="thin"/>
      <bottom style="thin"/>
    </border>
    <border>
      <left/>
      <right/>
      <top style="thin"/>
      <bottom style="thin"/>
    </border>
    <border>
      <left/>
      <right/>
      <top/>
      <bottom style="thin"/>
    </border>
    <border>
      <left/>
      <right/>
      <top style="thin"/>
      <bottom style="medium"/>
    </border>
    <border>
      <left/>
      <right>
        <color indexed="63"/>
      </right>
      <top style="medium"/>
      <bottom style="thin"/>
    </border>
    <border>
      <left style="medium"/>
      <right style="thin"/>
      <top style="thin"/>
      <bottom style="medium"/>
    </border>
    <border>
      <left>
        <color indexed="63"/>
      </left>
      <right style="medium"/>
      <top style="thin"/>
      <bottom style="medium"/>
    </border>
    <border>
      <left style="thin"/>
      <right style="medium"/>
      <top style="thin"/>
      <bottom style="medium"/>
    </border>
    <border>
      <left style="medium"/>
      <right style="thin"/>
      <top/>
      <bottom style="medium"/>
    </border>
    <border>
      <left style="thin"/>
      <right/>
      <top style="medium"/>
      <bottom style="thin"/>
    </border>
    <border>
      <left/>
      <right style="thin"/>
      <top style="medium"/>
      <bottom style="thin"/>
    </border>
    <border>
      <left style="thin"/>
      <right/>
      <top style="thin"/>
      <bottom style="medium"/>
    </border>
    <border>
      <left>
        <color indexed="63"/>
      </left>
      <right style="thin"/>
      <top style="thin"/>
      <bottom style="medium"/>
    </border>
    <border>
      <left style="thin">
        <color rgb="FF000000"/>
      </left>
      <right>
        <color indexed="63"/>
      </right>
      <top/>
      <bottom style="medium"/>
    </border>
    <border diagonalUp="1">
      <left>
        <color indexed="63"/>
      </left>
      <right style="thin">
        <color rgb="FF000000"/>
      </right>
      <top>
        <color indexed="63"/>
      </top>
      <bottom style="medium"/>
      <diagonal style="thin">
        <color rgb="FF000000"/>
      </diagonal>
    </border>
    <border>
      <left/>
      <right style="thin"/>
      <top/>
      <bottom style="medium"/>
    </border>
    <border>
      <left style="medium">
        <color rgb="FF000000"/>
      </left>
      <right style="medium">
        <color rgb="FF000000"/>
      </right>
      <top style="medium">
        <color rgb="FF000000"/>
      </top>
      <bottom style="medium"/>
    </border>
    <border>
      <left style="medium"/>
      <right style="medium">
        <color rgb="FF000000"/>
      </right>
      <top style="medium"/>
      <bottom style="medium"/>
    </border>
    <border>
      <left style="medium"/>
      <right/>
      <top/>
      <bottom style="hair"/>
    </border>
    <border>
      <left style="thin"/>
      <right style="thin"/>
      <top style="thin"/>
      <bottom style="medium"/>
    </border>
    <border>
      <left style="thin"/>
      <right style="thin"/>
      <top style="medium"/>
      <bottom style="thin"/>
    </border>
    <border>
      <left style="medium"/>
      <right/>
      <top style="medium"/>
      <bottom style="thin"/>
    </border>
    <border>
      <left style="medium"/>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medium"/>
      <right style="thin">
        <color rgb="FF000000"/>
      </right>
      <top style="medium">
        <color rgb="FF000000"/>
      </top>
      <bottom/>
    </border>
    <border>
      <left style="medium"/>
      <right style="thin">
        <color rgb="FF000000"/>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rgb="FF000000"/>
      </left>
      <right style="medium"/>
      <top style="medium"/>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thin">
        <color rgb="FF000000"/>
      </top>
      <bottom style="medium">
        <color rgb="FF000000"/>
      </bottom>
    </border>
    <border>
      <left style="thin">
        <color rgb="FF000000"/>
      </left>
      <right>
        <color indexed="63"/>
      </right>
      <top style="medium">
        <color rgb="FF000000"/>
      </top>
      <bottom/>
    </border>
    <border>
      <left>
        <color indexed="63"/>
      </left>
      <right style="thin">
        <color rgb="FF000000"/>
      </right>
      <top style="medium">
        <color rgb="FF000000"/>
      </top>
      <bottom/>
    </border>
    <border>
      <left style="thin">
        <color rgb="FF000000"/>
      </left>
      <right/>
      <top/>
      <bottom/>
    </border>
    <border>
      <left/>
      <right style="thin">
        <color rgb="FF000000"/>
      </right>
      <top/>
      <bottom/>
    </border>
    <border>
      <left style="medium"/>
      <right style="thin">
        <color rgb="FF000000"/>
      </right>
      <top style="medium"/>
      <bottom/>
    </border>
    <border>
      <left style="thin">
        <color rgb="FF000000"/>
      </left>
      <right style="thin">
        <color rgb="FF000000"/>
      </right>
      <top style="medium"/>
      <bottom/>
    </border>
    <border>
      <left style="thin">
        <color rgb="FF000000"/>
      </left>
      <right>
        <color indexed="63"/>
      </right>
      <top style="medium"/>
      <bottom/>
    </border>
    <border>
      <left>
        <color indexed="63"/>
      </left>
      <right style="thin">
        <color rgb="FF000000"/>
      </right>
      <top style="medium"/>
      <bottom/>
    </border>
    <border>
      <left style="thin">
        <color rgb="FF000000"/>
      </left>
      <right style="medium"/>
      <top style="medium"/>
      <bottom/>
    </border>
    <border>
      <left/>
      <right/>
      <top style="medium"/>
      <bottom/>
    </border>
    <border>
      <left style="medium"/>
      <right style="medium"/>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thin"/>
      <right style="thin"/>
      <top/>
      <bottom style="medium"/>
    </border>
    <border>
      <left style="thin"/>
      <right/>
      <top style="medium"/>
      <bottom/>
    </border>
    <border>
      <left style="thin"/>
      <right/>
      <top/>
      <bottom style="thin"/>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thick"/>
      <right style="thin"/>
      <top style="thick"/>
      <bottom style="hair"/>
    </border>
    <border>
      <left style="medium"/>
      <right/>
      <top style="thin"/>
      <bottom style="medium"/>
    </border>
    <border>
      <left/>
      <right/>
      <top style="thin"/>
      <bottom/>
    </border>
    <border>
      <left/>
      <right style="thin"/>
      <top style="thin"/>
      <bottom/>
    </border>
    <border>
      <left/>
      <right style="thin"/>
      <top/>
      <bottom/>
    </border>
    <border>
      <left style="thin"/>
      <right/>
      <top style="thin"/>
      <bottom/>
    </border>
    <border>
      <left style="medium">
        <color rgb="FF000000"/>
      </left>
      <right style="medium">
        <color rgb="FF000000"/>
      </right>
      <top/>
      <bottom style="medium"/>
    </border>
    <border>
      <left style="thin"/>
      <right style="thin"/>
      <top/>
      <bottom/>
    </border>
    <border>
      <left style="thin"/>
      <right style="thin"/>
      <top>
        <color indexed="63"/>
      </top>
      <bottom style="hair"/>
    </border>
    <border>
      <left style="medium"/>
      <right/>
      <top>
        <color indexed="63"/>
      </top>
      <bottom style="thin"/>
    </border>
    <border>
      <left style="medium">
        <color rgb="FF000000"/>
      </left>
      <right>
        <color indexed="63"/>
      </right>
      <top style="medium"/>
      <bottom style="thin"/>
    </border>
    <border>
      <left style="medium">
        <color rgb="FF000000"/>
      </left>
      <right>
        <color indexed="63"/>
      </right>
      <top style="thin"/>
      <bottom style="thin"/>
    </border>
    <border>
      <left style="medium">
        <color rgb="FF000000"/>
      </left>
      <right>
        <color indexed="63"/>
      </right>
      <top style="thin"/>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thin"/>
      <right style="thin"/>
      <top style="thin"/>
      <bottom style="double"/>
    </border>
    <border>
      <left style="thin"/>
      <right style="thin"/>
      <top style="double"/>
      <bottom style="thin"/>
    </border>
    <border>
      <left style="thin"/>
      <right style="thin"/>
      <top style="medium"/>
      <bottom style="medium"/>
    </border>
    <border>
      <left style="thin"/>
      <right style="medium"/>
      <top style="medium"/>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right style="medium">
        <color rgb="FF000000"/>
      </right>
      <top style="medium"/>
      <bottom style="thin"/>
    </border>
    <border>
      <left/>
      <right style="medium">
        <color rgb="FF000000"/>
      </right>
      <top style="thin"/>
      <bottom style="thin"/>
    </border>
    <border>
      <left/>
      <right style="medium">
        <color rgb="FF000000"/>
      </right>
      <top style="thin"/>
      <bottom style="medium"/>
    </border>
    <border>
      <left style="thin"/>
      <right style="medium"/>
      <top/>
      <bottom>
        <color indexed="63"/>
      </bottom>
    </border>
    <border>
      <left style="thin"/>
      <right style="medium"/>
      <top style="medium"/>
      <bottom/>
    </border>
    <border>
      <left style="thin"/>
      <right>
        <color indexed="63"/>
      </right>
      <top style="medium"/>
      <bottom style="medium"/>
    </border>
    <border>
      <left>
        <color indexed="63"/>
      </left>
      <right style="thin"/>
      <top style="medium"/>
      <bottom style="medium"/>
    </border>
    <border>
      <left style="medium"/>
      <right/>
      <top/>
      <bottom/>
    </border>
    <border>
      <left style="medium"/>
      <right style="medium"/>
      <top style="hair"/>
      <bottom style="medium"/>
    </border>
    <border>
      <left>
        <color indexed="63"/>
      </left>
      <right style="thin"/>
      <top style="thin"/>
      <bottom style="hair"/>
    </border>
    <border>
      <left/>
      <right style="thin"/>
      <top style="hair"/>
      <bottom style="hair"/>
    </border>
    <border>
      <left>
        <color indexed="63"/>
      </left>
      <right style="thin"/>
      <top style="hair"/>
      <bottom style="thin"/>
    </border>
    <border>
      <left>
        <color indexed="63"/>
      </left>
      <right>
        <color indexed="63"/>
      </right>
      <top style="thin"/>
      <bottom style="hair"/>
    </border>
    <border>
      <left style="double"/>
      <right style="double"/>
      <top style="thin"/>
      <bottom style="hair"/>
    </border>
    <border>
      <left style="double"/>
      <right/>
      <top style="thin"/>
      <bottom style="hair"/>
    </border>
    <border>
      <left>
        <color indexed="63"/>
      </left>
      <right>
        <color indexed="63"/>
      </right>
      <top style="hair"/>
      <bottom style="hair"/>
    </border>
    <border>
      <left style="double"/>
      <right style="double"/>
      <top style="hair"/>
      <bottom style="hair"/>
    </border>
    <border>
      <left style="double"/>
      <right/>
      <top style="hair"/>
      <bottom style="hair"/>
    </border>
    <border>
      <left>
        <color indexed="63"/>
      </left>
      <right>
        <color indexed="63"/>
      </right>
      <top style="hair"/>
      <bottom style="thin"/>
    </border>
    <border>
      <left style="double"/>
      <right style="double"/>
      <top style="hair"/>
      <bottom/>
    </border>
    <border>
      <left style="double"/>
      <right/>
      <top style="hair"/>
      <bottom style="thin"/>
    </border>
    <border>
      <left style="thin"/>
      <right style="thin"/>
      <top style="hair"/>
      <bottom>
        <color indexed="63"/>
      </bottom>
    </border>
    <border>
      <left style="double"/>
      <right style="double"/>
      <top style="thin"/>
      <bottom style="thin"/>
    </border>
    <border>
      <left style="double"/>
      <right/>
      <top/>
      <bottom style="thin"/>
    </border>
    <border diagonalUp="1">
      <left style="thin"/>
      <right style="thin"/>
      <top style="thin"/>
      <bottom style="thin"/>
      <diagonal style="thin"/>
    </border>
    <border>
      <left style="medium"/>
      <right/>
      <top style="hair"/>
      <bottom style="hair"/>
    </border>
    <border>
      <left/>
      <right style="medium"/>
      <top style="hair"/>
      <bottom style="hair"/>
    </border>
    <border>
      <left style="medium"/>
      <right/>
      <top style="hair"/>
      <bottom>
        <color indexed="63"/>
      </bottom>
    </border>
    <border>
      <left>
        <color indexed="63"/>
      </left>
      <right style="medium"/>
      <top style="hair"/>
      <bottom/>
    </border>
    <border>
      <left style="medium"/>
      <right/>
      <top style="hair"/>
      <bottom style="medium"/>
    </border>
    <border>
      <left/>
      <right style="medium"/>
      <top style="hair"/>
      <bottom style="medium"/>
    </border>
    <border>
      <left style="medium"/>
      <right>
        <color indexed="63"/>
      </right>
      <top style="medium"/>
      <bottom style="hair"/>
    </border>
    <border>
      <left>
        <color indexed="63"/>
      </left>
      <right style="medium"/>
      <top style="medium"/>
      <bottom style="hair"/>
    </border>
    <border>
      <left/>
      <right style="medium"/>
      <top/>
      <bottom style="hair"/>
    </border>
    <border>
      <left style="thin"/>
      <right/>
      <top style="hair"/>
      <bottom/>
    </border>
    <border>
      <left/>
      <right style="thin"/>
      <top style="hair"/>
      <bottom/>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color indexed="63"/>
      </left>
      <right>
        <color indexed="63"/>
      </right>
      <top style="hair"/>
      <bottom>
        <color indexed="63"/>
      </bottom>
    </border>
    <border>
      <left style="double"/>
      <right/>
      <top style="thin"/>
      <bottom/>
    </border>
    <border>
      <left style="thin"/>
      <right style="thin"/>
      <top style="hair"/>
      <bottom style="thick"/>
    </border>
    <border>
      <left style="thin"/>
      <right style="thick"/>
      <top style="hair"/>
      <bottom style="thick"/>
    </border>
    <border>
      <left style="thin"/>
      <right/>
      <top/>
      <bottom/>
    </border>
    <border>
      <left>
        <color indexed="63"/>
      </left>
      <right style="double"/>
      <top style="thin"/>
      <bottom style="thin"/>
    </border>
    <border>
      <left style="double"/>
      <right style="double"/>
      <top style="thin"/>
      <bottom>
        <color indexed="63"/>
      </bottom>
    </border>
    <border>
      <left style="double"/>
      <right style="double"/>
      <top/>
      <bottom/>
    </border>
    <border>
      <left style="double"/>
      <right style="double"/>
      <top/>
      <bottom style="thin"/>
    </border>
    <border>
      <left style="double"/>
      <right>
        <color indexed="63"/>
      </right>
      <top style="thin"/>
      <bottom style="thin"/>
    </border>
    <border>
      <left style="thin"/>
      <right style="thin"/>
      <top style="thick"/>
      <bottom style="hair"/>
    </border>
    <border>
      <left style="thin"/>
      <right style="thick"/>
      <top style="thick"/>
      <bottom style="hair"/>
    </border>
    <border>
      <left style="thin"/>
      <right style="thick"/>
      <top style="hair"/>
      <bottom style="hair"/>
    </border>
    <border>
      <left style="medium"/>
      <right style="thin"/>
      <top style="medium"/>
      <bottom>
        <color indexed="63"/>
      </bottom>
    </border>
    <border>
      <left/>
      <right style="thin"/>
      <top style="medium"/>
      <bottom/>
    </border>
    <border>
      <left>
        <color indexed="63"/>
      </left>
      <right style="medium"/>
      <top style="medium"/>
      <bottom>
        <color indexed="63"/>
      </bottom>
    </border>
    <border>
      <left style="medium"/>
      <right/>
      <top/>
      <bottom style="mediu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right style="medium"/>
      <top style="medium"/>
      <bottom style="medium">
        <color rgb="FF000000"/>
      </bottom>
    </border>
    <border>
      <left style="medium"/>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color indexed="63"/>
      </left>
      <right style="medium">
        <color rgb="FF000000"/>
      </right>
      <top>
        <color indexed="63"/>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color indexed="63"/>
      </right>
      <top style="medium"/>
      <bottom>
        <color indexed="63"/>
      </bottom>
    </border>
    <border>
      <left/>
      <right style="medium">
        <color rgb="FF000000"/>
      </right>
      <top style="medium"/>
      <bottom>
        <color indexed="63"/>
      </bottom>
    </border>
    <border>
      <left style="medium">
        <color rgb="FF000000"/>
      </left>
      <right/>
      <top style="medium"/>
      <bottom>
        <color indexed="63"/>
      </bottom>
    </border>
    <border>
      <left style="double"/>
      <right/>
      <top style="double"/>
      <bottom style="double"/>
    </border>
    <border>
      <left/>
      <right style="double"/>
      <top style="double"/>
      <bottom style="double"/>
    </border>
    <border>
      <left>
        <color indexed="63"/>
      </left>
      <right>
        <color indexed="63"/>
      </right>
      <top style="medium"/>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0" borderId="0" applyNumberFormat="0" applyFill="0" applyBorder="0" applyAlignment="0" applyProtection="0"/>
    <xf numFmtId="0" fontId="119" fillId="26" borderId="1" applyNumberFormat="0" applyAlignment="0" applyProtection="0"/>
    <xf numFmtId="0" fontId="120"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21" fillId="0" borderId="0" applyNumberFormat="0" applyFill="0" applyBorder="0" applyAlignment="0" applyProtection="0"/>
    <xf numFmtId="0" fontId="0" fillId="28" borderId="2" applyNumberFormat="0" applyFont="0" applyAlignment="0" applyProtection="0"/>
    <xf numFmtId="0" fontId="122" fillId="0" borderId="3" applyNumberFormat="0" applyFill="0" applyAlignment="0" applyProtection="0"/>
    <xf numFmtId="0" fontId="123" fillId="29" borderId="0" applyNumberFormat="0" applyBorder="0" applyAlignment="0" applyProtection="0"/>
    <xf numFmtId="0" fontId="124" fillId="30" borderId="4" applyNumberFormat="0" applyAlignment="0" applyProtection="0"/>
    <xf numFmtId="0" fontId="1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26" fillId="0" borderId="5" applyNumberFormat="0" applyFill="0" applyAlignment="0" applyProtection="0"/>
    <xf numFmtId="0" fontId="127" fillId="0" borderId="6" applyNumberFormat="0" applyFill="0" applyAlignment="0" applyProtection="0"/>
    <xf numFmtId="0" fontId="128" fillId="0" borderId="7" applyNumberFormat="0" applyFill="0" applyAlignment="0" applyProtection="0"/>
    <xf numFmtId="0" fontId="128" fillId="0" borderId="0" applyNumberFormat="0" applyFill="0" applyBorder="0" applyAlignment="0" applyProtection="0"/>
    <xf numFmtId="0" fontId="129" fillId="0" borderId="8" applyNumberFormat="0" applyFill="0" applyAlignment="0" applyProtection="0"/>
    <xf numFmtId="0" fontId="130" fillId="30" borderId="9" applyNumberFormat="0" applyAlignment="0" applyProtection="0"/>
    <xf numFmtId="0" fontId="1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2"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33" fillId="0" borderId="0" applyNumberFormat="0" applyFill="0" applyBorder="0" applyAlignment="0" applyProtection="0"/>
    <xf numFmtId="0" fontId="134" fillId="32" borderId="0" applyNumberFormat="0" applyBorder="0" applyAlignment="0" applyProtection="0"/>
  </cellStyleXfs>
  <cellXfs count="1187">
    <xf numFmtId="0" fontId="0" fillId="0" borderId="0" xfId="0" applyFont="1" applyAlignment="1">
      <alignment vertical="center"/>
    </xf>
    <xf numFmtId="0" fontId="135"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136" fillId="0" borderId="0" xfId="0" applyFont="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37" fillId="0" borderId="10" xfId="0" applyFont="1" applyBorder="1" applyAlignment="1" applyProtection="1">
      <alignment horizontal="center" vertical="top" wrapText="1"/>
      <protection locked="0"/>
    </xf>
    <xf numFmtId="0" fontId="137" fillId="0" borderId="11" xfId="0" applyFont="1" applyBorder="1" applyAlignment="1" applyProtection="1">
      <alignment horizontal="center" vertical="center" wrapText="1"/>
      <protection locked="0"/>
    </xf>
    <xf numFmtId="0" fontId="138"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39" fillId="0" borderId="0" xfId="0" applyFont="1" applyAlignment="1" applyProtection="1">
      <alignment vertical="center"/>
      <protection locked="0"/>
    </xf>
    <xf numFmtId="0" fontId="0" fillId="0" borderId="0" xfId="0" applyAlignment="1" applyProtection="1">
      <alignment vertical="center"/>
      <protection locked="0"/>
    </xf>
    <xf numFmtId="0" fontId="136" fillId="0" borderId="0" xfId="0" applyFont="1" applyBorder="1" applyAlignment="1" applyProtection="1">
      <alignment vertical="center"/>
      <protection locked="0"/>
    </xf>
    <xf numFmtId="0" fontId="136" fillId="0" borderId="0" xfId="0" applyFont="1" applyBorder="1" applyAlignment="1" applyProtection="1">
      <alignment horizontal="center" vertical="center"/>
      <protection locked="0"/>
    </xf>
    <xf numFmtId="0" fontId="140" fillId="0" borderId="0" xfId="0" applyFont="1" applyBorder="1" applyAlignment="1" applyProtection="1">
      <alignment horizontal="center" vertical="center"/>
      <protection locked="0"/>
    </xf>
    <xf numFmtId="0" fontId="141"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39" fillId="33" borderId="0" xfId="0" applyFont="1" applyFill="1" applyAlignment="1" applyProtection="1">
      <alignment vertical="center"/>
      <protection locked="0"/>
    </xf>
    <xf numFmtId="0" fontId="142" fillId="33" borderId="0" xfId="0" applyFont="1" applyFill="1" applyAlignment="1" applyProtection="1">
      <alignment horizontal="center" vertical="center"/>
      <protection locked="0"/>
    </xf>
    <xf numFmtId="0" fontId="143" fillId="33" borderId="0" xfId="0" applyFont="1" applyFill="1" applyAlignment="1" applyProtection="1">
      <alignment horizontal="center" vertical="center"/>
      <protection locked="0"/>
    </xf>
    <xf numFmtId="0" fontId="144" fillId="33" borderId="0" xfId="0" applyFont="1" applyFill="1" applyAlignment="1" applyProtection="1">
      <alignment horizontal="justify" vertical="center"/>
      <protection locked="0"/>
    </xf>
    <xf numFmtId="0" fontId="136"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45" fillId="33" borderId="0" xfId="0" applyFont="1" applyFill="1" applyAlignment="1" applyProtection="1">
      <alignment horizontal="justify" vertical="center"/>
      <protection locked="0"/>
    </xf>
    <xf numFmtId="0" fontId="146" fillId="33" borderId="0" xfId="0" applyFont="1" applyFill="1" applyAlignment="1" applyProtection="1">
      <alignment horizontal="justify" vertical="center"/>
      <protection locked="0"/>
    </xf>
    <xf numFmtId="176" fontId="147" fillId="33" borderId="0" xfId="0" applyNumberFormat="1" applyFont="1" applyFill="1" applyBorder="1" applyAlignment="1" applyProtection="1">
      <alignment vertical="center" wrapText="1"/>
      <protection locked="0"/>
    </xf>
    <xf numFmtId="0" fontId="147" fillId="33" borderId="0" xfId="0" applyFont="1" applyFill="1" applyBorder="1" applyAlignment="1" applyProtection="1">
      <alignment vertical="center" wrapText="1"/>
      <protection locked="0"/>
    </xf>
    <xf numFmtId="0" fontId="135"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135" fillId="33" borderId="0" xfId="0" applyFont="1" applyFill="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35" fillId="0" borderId="13" xfId="0" applyFont="1" applyBorder="1" applyAlignment="1" applyProtection="1">
      <alignment horizontal="center" vertical="center"/>
      <protection locked="0"/>
    </xf>
    <xf numFmtId="0" fontId="135"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35" fillId="0" borderId="13" xfId="0" applyFont="1" applyBorder="1" applyAlignment="1" applyProtection="1">
      <alignment horizontal="center" vertical="top" wrapText="1"/>
      <protection locked="0"/>
    </xf>
    <xf numFmtId="0" fontId="138" fillId="33" borderId="0" xfId="0" applyFont="1" applyFill="1" applyAlignment="1" applyProtection="1">
      <alignment vertical="center"/>
      <protection locked="0"/>
    </xf>
    <xf numFmtId="176" fontId="8"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48" fillId="0" borderId="0" xfId="0" applyFont="1" applyAlignment="1" applyProtection="1">
      <alignment vertical="center"/>
      <protection locked="0"/>
    </xf>
    <xf numFmtId="0" fontId="139" fillId="0" borderId="0" xfId="0" applyFont="1" applyAlignment="1" applyProtection="1">
      <alignment vertical="center"/>
      <protection locked="0"/>
    </xf>
    <xf numFmtId="187" fontId="139" fillId="0" borderId="0" xfId="0" applyNumberFormat="1" applyFont="1" applyAlignment="1" applyProtection="1">
      <alignment horizontal="left" vertical="center"/>
      <protection locked="0"/>
    </xf>
    <xf numFmtId="0" fontId="139" fillId="0" borderId="0" xfId="0" applyFont="1" applyBorder="1" applyAlignment="1" applyProtection="1">
      <alignment vertical="center"/>
      <protection locked="0"/>
    </xf>
    <xf numFmtId="0" fontId="139" fillId="0" borderId="14" xfId="0" applyFont="1" applyBorder="1" applyAlignment="1" applyProtection="1">
      <alignment vertical="center"/>
      <protection/>
    </xf>
    <xf numFmtId="0" fontId="139"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49" fillId="0" borderId="0" xfId="0" applyFont="1" applyAlignment="1" applyProtection="1">
      <alignment vertical="center"/>
      <protection locked="0"/>
    </xf>
    <xf numFmtId="20" fontId="0" fillId="0" borderId="0" xfId="0" applyNumberFormat="1" applyAlignment="1" applyProtection="1">
      <alignment vertical="center"/>
      <protection/>
    </xf>
    <xf numFmtId="0" fontId="135" fillId="0" borderId="0" xfId="0" applyFont="1" applyAlignment="1" applyProtection="1">
      <alignment horizontal="center" vertical="center"/>
      <protection locked="0"/>
    </xf>
    <xf numFmtId="20" fontId="135" fillId="0" borderId="0" xfId="0" applyNumberFormat="1" applyFont="1" applyAlignment="1" applyProtection="1">
      <alignment vertical="center"/>
      <protection/>
    </xf>
    <xf numFmtId="20" fontId="149" fillId="0" borderId="0" xfId="0" applyNumberFormat="1" applyFont="1" applyAlignment="1" applyProtection="1">
      <alignment vertical="center"/>
      <protection locked="0"/>
    </xf>
    <xf numFmtId="0" fontId="149" fillId="0" borderId="0" xfId="0" applyFont="1" applyBorder="1" applyAlignment="1" applyProtection="1">
      <alignment vertical="center"/>
      <protection locked="0"/>
    </xf>
    <xf numFmtId="0" fontId="139" fillId="0" borderId="0" xfId="0" applyFont="1" applyBorder="1" applyAlignment="1" applyProtection="1">
      <alignment vertical="center"/>
      <protection/>
    </xf>
    <xf numFmtId="0" fontId="139" fillId="0" borderId="0" xfId="0" applyFont="1" applyAlignment="1" applyProtection="1">
      <alignment horizontal="center" vertical="center"/>
      <protection/>
    </xf>
    <xf numFmtId="0" fontId="139" fillId="0" borderId="0" xfId="0" applyFont="1" applyAlignment="1" applyProtection="1" quotePrefix="1">
      <alignment horizontal="center" vertical="center"/>
      <protection locked="0"/>
    </xf>
    <xf numFmtId="187" fontId="139" fillId="0" borderId="0" xfId="0" applyNumberFormat="1" applyFont="1" applyAlignment="1" applyProtection="1">
      <alignment horizontal="left" vertical="center"/>
      <protection/>
    </xf>
    <xf numFmtId="0" fontId="150" fillId="0" borderId="0" xfId="0" applyFont="1" applyAlignment="1" applyProtection="1">
      <alignment horizontal="left" vertical="center"/>
      <protection locked="0"/>
    </xf>
    <xf numFmtId="188" fontId="148" fillId="0" borderId="0" xfId="0" applyNumberFormat="1" applyFont="1" applyBorder="1" applyAlignment="1" applyProtection="1">
      <alignment horizontal="left" vertical="center"/>
      <protection locked="0"/>
    </xf>
    <xf numFmtId="38" fontId="6" fillId="0" borderId="0" xfId="53" applyFont="1" applyFill="1"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58" fontId="129" fillId="0" borderId="0" xfId="0" applyNumberFormat="1" applyFont="1" applyBorder="1" applyAlignment="1" applyProtection="1">
      <alignment vertical="center"/>
      <protection locked="0"/>
    </xf>
    <xf numFmtId="0" fontId="135"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12"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151" fillId="33" borderId="14" xfId="0" applyNumberFormat="1" applyFont="1" applyFill="1" applyBorder="1" applyAlignment="1" applyProtection="1">
      <alignment horizontal="center" vertical="center" wrapText="1"/>
      <protection/>
    </xf>
    <xf numFmtId="38" fontId="152" fillId="0" borderId="13" xfId="50" applyNumberFormat="1" applyFont="1" applyBorder="1" applyAlignment="1" applyProtection="1">
      <alignment horizontal="center" vertical="center"/>
      <protection/>
    </xf>
    <xf numFmtId="38" fontId="0" fillId="0" borderId="0" xfId="0" applyNumberFormat="1" applyFont="1" applyAlignment="1" applyProtection="1">
      <alignment vertical="center"/>
      <protection locked="0"/>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176" fontId="153" fillId="33" borderId="16" xfId="0" applyNumberFormat="1" applyFont="1" applyFill="1" applyBorder="1" applyAlignment="1" applyProtection="1">
      <alignment vertical="center" wrapText="1"/>
      <protection locked="0"/>
    </xf>
    <xf numFmtId="0" fontId="153" fillId="33" borderId="17" xfId="0" applyFont="1" applyFill="1" applyBorder="1" applyAlignment="1" applyProtection="1">
      <alignment vertical="center" wrapText="1"/>
      <protection locked="0"/>
    </xf>
    <xf numFmtId="0" fontId="137" fillId="0" borderId="0" xfId="0" applyFont="1" applyAlignment="1" applyProtection="1">
      <alignment horizontal="center" vertical="center"/>
      <protection locked="0"/>
    </xf>
    <xf numFmtId="0" fontId="137" fillId="0" borderId="18" xfId="0" applyFont="1" applyBorder="1" applyAlignment="1" applyProtection="1">
      <alignment horizontal="center" vertical="center" wrapText="1"/>
      <protection locked="0"/>
    </xf>
    <xf numFmtId="0" fontId="137" fillId="0" borderId="19" xfId="0" applyFont="1" applyBorder="1" applyAlignment="1" applyProtection="1">
      <alignment horizontal="center" vertical="center" wrapText="1"/>
      <protection locked="0"/>
    </xf>
    <xf numFmtId="178" fontId="153"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37" fillId="0" borderId="20" xfId="0" applyFont="1" applyBorder="1" applyAlignment="1" applyProtection="1">
      <alignment horizontal="center" vertical="center" wrapText="1"/>
      <protection locked="0"/>
    </xf>
    <xf numFmtId="0" fontId="137" fillId="0" borderId="21" xfId="0" applyFont="1" applyBorder="1" applyAlignment="1" applyProtection="1">
      <alignment horizontal="center" vertical="center" wrapText="1"/>
      <protection locked="0"/>
    </xf>
    <xf numFmtId="0" fontId="137" fillId="33" borderId="19" xfId="0" applyFont="1" applyFill="1" applyBorder="1" applyAlignment="1" applyProtection="1">
      <alignment horizontal="center" vertical="center" wrapText="1"/>
      <protection locked="0"/>
    </xf>
    <xf numFmtId="0" fontId="137" fillId="33" borderId="18" xfId="0" applyFont="1" applyFill="1" applyBorder="1" applyAlignment="1" applyProtection="1">
      <alignment horizontal="center" vertical="center" wrapText="1"/>
      <protection locked="0"/>
    </xf>
    <xf numFmtId="38" fontId="154" fillId="33" borderId="22" xfId="50" applyFont="1" applyFill="1" applyBorder="1" applyAlignment="1" applyProtection="1">
      <alignment horizontal="center" vertical="center" wrapText="1"/>
      <protection locked="0"/>
    </xf>
    <xf numFmtId="0" fontId="155" fillId="7" borderId="23" xfId="0" applyFont="1" applyFill="1" applyBorder="1" applyAlignment="1" applyProtection="1">
      <alignment horizontal="center" vertical="center"/>
      <protection locked="0"/>
    </xf>
    <xf numFmtId="0" fontId="136" fillId="0" borderId="0" xfId="0" applyFont="1" applyBorder="1" applyAlignment="1" applyProtection="1">
      <alignment horizontal="left" vertical="center"/>
      <protection locked="0"/>
    </xf>
    <xf numFmtId="0" fontId="156" fillId="33" borderId="0" xfId="0" applyFont="1" applyFill="1" applyAlignment="1" applyProtection="1">
      <alignment horizontal="center" vertical="center"/>
      <protection locked="0"/>
    </xf>
    <xf numFmtId="0" fontId="155" fillId="33" borderId="0" xfId="0" applyFont="1" applyFill="1" applyBorder="1" applyAlignment="1" applyProtection="1">
      <alignment horizontal="center" vertical="center"/>
      <protection locked="0"/>
    </xf>
    <xf numFmtId="38" fontId="152" fillId="0" borderId="13" xfId="50" applyFont="1" applyBorder="1" applyAlignment="1" applyProtection="1">
      <alignment horizontal="center" vertical="center"/>
      <protection/>
    </xf>
    <xf numFmtId="194" fontId="152" fillId="0" borderId="13" xfId="50" applyNumberFormat="1" applyFont="1" applyBorder="1" applyAlignment="1" applyProtection="1">
      <alignment horizontal="center" vertical="center"/>
      <protection/>
    </xf>
    <xf numFmtId="201" fontId="148" fillId="33" borderId="0" xfId="50" applyNumberFormat="1" applyFont="1" applyFill="1" applyBorder="1" applyAlignment="1" applyProtection="1">
      <alignment vertical="center"/>
      <protection locked="0"/>
    </xf>
    <xf numFmtId="0" fontId="7" fillId="33" borderId="13" xfId="0" applyFont="1" applyFill="1" applyBorder="1" applyAlignment="1" applyProtection="1">
      <alignment horizontal="left" vertical="center"/>
      <protection/>
    </xf>
    <xf numFmtId="0" fontId="157" fillId="0" borderId="0" xfId="0" applyFont="1" applyAlignment="1" applyProtection="1">
      <alignment vertical="center"/>
      <protection locked="0"/>
    </xf>
    <xf numFmtId="0" fontId="157" fillId="0" borderId="13" xfId="0" applyFont="1" applyBorder="1" applyAlignment="1" applyProtection="1">
      <alignment horizontal="center" vertical="center"/>
      <protection/>
    </xf>
    <xf numFmtId="0" fontId="0" fillId="0" borderId="0" xfId="0" applyAlignment="1" applyProtection="1">
      <alignment vertical="center"/>
      <protection locked="0"/>
    </xf>
    <xf numFmtId="0" fontId="149" fillId="0" borderId="0" xfId="0" applyFont="1" applyAlignment="1" applyProtection="1">
      <alignment horizontal="center" vertical="center"/>
      <protection locked="0"/>
    </xf>
    <xf numFmtId="0" fontId="158" fillId="0" borderId="0" xfId="0" applyFont="1" applyAlignment="1" applyProtection="1">
      <alignment vertical="center"/>
      <protection locked="0"/>
    </xf>
    <xf numFmtId="38" fontId="0" fillId="0" borderId="0" xfId="50" applyFont="1" applyAlignment="1" applyProtection="1">
      <alignment vertical="center"/>
      <protection locked="0"/>
    </xf>
    <xf numFmtId="38" fontId="136" fillId="0" borderId="0" xfId="0" applyNumberFormat="1" applyFont="1" applyAlignment="1" applyProtection="1">
      <alignment vertical="center"/>
      <protection locked="0"/>
    </xf>
    <xf numFmtId="0" fontId="153" fillId="33" borderId="0" xfId="0" applyFont="1" applyFill="1" applyBorder="1" applyAlignment="1" applyProtection="1">
      <alignment vertical="center" wrapText="1"/>
      <protection locked="0"/>
    </xf>
    <xf numFmtId="0" fontId="159" fillId="33" borderId="0" xfId="0" applyFont="1" applyFill="1" applyBorder="1" applyAlignment="1" applyProtection="1">
      <alignment horizontal="center" vertical="center" wrapText="1"/>
      <protection locked="0"/>
    </xf>
    <xf numFmtId="176" fontId="16" fillId="0" borderId="15" xfId="0" applyNumberFormat="1" applyFont="1" applyFill="1" applyBorder="1" applyAlignment="1" applyProtection="1">
      <alignment horizontal="right" vertical="center" wrapText="1"/>
      <protection/>
    </xf>
    <xf numFmtId="176" fontId="16" fillId="33" borderId="19" xfId="0" applyNumberFormat="1" applyFont="1" applyFill="1" applyBorder="1" applyAlignment="1" applyProtection="1">
      <alignment horizontal="right" vertical="center" wrapText="1"/>
      <protection/>
    </xf>
    <xf numFmtId="176" fontId="160" fillId="33" borderId="24" xfId="0" applyNumberFormat="1" applyFont="1" applyFill="1" applyBorder="1" applyAlignment="1" applyProtection="1">
      <alignment horizontal="right" vertical="center" wrapText="1"/>
      <protection locked="0"/>
    </xf>
    <xf numFmtId="184" fontId="160" fillId="33" borderId="25" xfId="0" applyNumberFormat="1" applyFont="1" applyFill="1" applyBorder="1" applyAlignment="1" applyProtection="1">
      <alignment horizontal="right" vertical="center" wrapText="1"/>
      <protection/>
    </xf>
    <xf numFmtId="176" fontId="160" fillId="33" borderId="26" xfId="0" applyNumberFormat="1" applyFont="1" applyFill="1" applyBorder="1" applyAlignment="1" applyProtection="1">
      <alignment horizontal="right" vertical="center" wrapText="1"/>
      <protection/>
    </xf>
    <xf numFmtId="176" fontId="160" fillId="33" borderId="27" xfId="0" applyNumberFormat="1" applyFont="1" applyFill="1" applyBorder="1" applyAlignment="1" applyProtection="1">
      <alignment horizontal="right" vertical="center" wrapText="1"/>
      <protection locked="0"/>
    </xf>
    <xf numFmtId="176" fontId="160" fillId="33" borderId="28" xfId="0" applyNumberFormat="1" applyFont="1" applyFill="1" applyBorder="1" applyAlignment="1" applyProtection="1">
      <alignment horizontal="right" vertical="center" wrapText="1"/>
      <protection/>
    </xf>
    <xf numFmtId="176" fontId="16" fillId="33" borderId="20" xfId="0" applyNumberFormat="1" applyFont="1" applyFill="1" applyBorder="1" applyAlignment="1" applyProtection="1">
      <alignment horizontal="right" vertical="center" wrapText="1"/>
      <protection/>
    </xf>
    <xf numFmtId="176" fontId="16" fillId="0" borderId="29" xfId="0" applyNumberFormat="1" applyFont="1" applyFill="1" applyBorder="1" applyAlignment="1" applyProtection="1">
      <alignment horizontal="right" vertical="center" wrapText="1"/>
      <protection/>
    </xf>
    <xf numFmtId="176" fontId="16" fillId="33" borderId="21" xfId="0" applyNumberFormat="1" applyFont="1" applyFill="1" applyBorder="1" applyAlignment="1" applyProtection="1">
      <alignment horizontal="right" vertical="center" wrapText="1"/>
      <protection/>
    </xf>
    <xf numFmtId="176" fontId="160" fillId="33" borderId="16" xfId="0" applyNumberFormat="1" applyFont="1" applyFill="1" applyBorder="1" applyAlignment="1" applyProtection="1">
      <alignment vertical="center" wrapText="1"/>
      <protection locked="0"/>
    </xf>
    <xf numFmtId="176" fontId="160" fillId="33" borderId="30" xfId="0" applyNumberFormat="1" applyFont="1" applyFill="1" applyBorder="1" applyAlignment="1" applyProtection="1">
      <alignment vertical="center" wrapText="1"/>
      <protection/>
    </xf>
    <xf numFmtId="0" fontId="160" fillId="33" borderId="17" xfId="0" applyFont="1" applyFill="1" applyBorder="1" applyAlignment="1" applyProtection="1">
      <alignment vertical="center" wrapText="1"/>
      <protection locked="0"/>
    </xf>
    <xf numFmtId="176" fontId="16" fillId="33" borderId="31" xfId="0" applyNumberFormat="1" applyFont="1" applyFill="1" applyBorder="1" applyAlignment="1" applyProtection="1">
      <alignment horizontal="right" vertical="center" wrapText="1"/>
      <protection/>
    </xf>
    <xf numFmtId="176" fontId="16" fillId="0" borderId="32" xfId="0" applyNumberFormat="1" applyFont="1" applyFill="1" applyBorder="1" applyAlignment="1" applyProtection="1">
      <alignment horizontal="right" vertical="center" wrapText="1"/>
      <protection/>
    </xf>
    <xf numFmtId="176" fontId="16" fillId="0" borderId="33" xfId="0" applyNumberFormat="1" applyFont="1" applyFill="1" applyBorder="1" applyAlignment="1" applyProtection="1">
      <alignment horizontal="right" vertical="center" wrapText="1"/>
      <protection/>
    </xf>
    <xf numFmtId="176" fontId="16" fillId="0" borderId="34" xfId="0" applyNumberFormat="1" applyFont="1" applyFill="1" applyBorder="1" applyAlignment="1" applyProtection="1">
      <alignment horizontal="right" vertical="center" wrapText="1"/>
      <protection/>
    </xf>
    <xf numFmtId="0" fontId="161" fillId="33" borderId="35" xfId="0" applyFont="1" applyFill="1" applyBorder="1" applyAlignment="1" applyProtection="1">
      <alignment horizontal="right" vertical="center" wrapText="1"/>
      <protection locked="0"/>
    </xf>
    <xf numFmtId="0" fontId="161" fillId="33" borderId="36" xfId="0" applyFont="1" applyFill="1" applyBorder="1" applyAlignment="1" applyProtection="1">
      <alignment horizontal="right" vertical="center" wrapText="1"/>
      <protection locked="0"/>
    </xf>
    <xf numFmtId="0" fontId="161" fillId="33" borderId="37" xfId="0" applyFont="1" applyFill="1" applyBorder="1" applyAlignment="1" applyProtection="1">
      <alignment horizontal="right" vertical="center" wrapText="1"/>
      <protection locked="0"/>
    </xf>
    <xf numFmtId="0" fontId="139" fillId="33" borderId="0" xfId="0" applyFont="1" applyFill="1" applyAlignment="1" applyProtection="1">
      <alignment vertical="center"/>
      <protection locked="0"/>
    </xf>
    <xf numFmtId="0" fontId="161" fillId="33" borderId="0" xfId="0" applyFont="1" applyFill="1" applyAlignment="1" applyProtection="1">
      <alignment horizontal="justify" vertical="center"/>
      <protection locked="0"/>
    </xf>
    <xf numFmtId="0" fontId="139" fillId="33" borderId="0" xfId="0" applyFont="1" applyFill="1" applyAlignment="1" applyProtection="1">
      <alignment horizontal="right" vertical="center"/>
      <protection locked="0"/>
    </xf>
    <xf numFmtId="0" fontId="161" fillId="33" borderId="38" xfId="0" applyFont="1" applyFill="1" applyBorder="1" applyAlignment="1" applyProtection="1">
      <alignment horizontal="right" vertical="center" wrapText="1"/>
      <protection locked="0"/>
    </xf>
    <xf numFmtId="176" fontId="16" fillId="33" borderId="39" xfId="0" applyNumberFormat="1" applyFont="1" applyFill="1" applyBorder="1" applyAlignment="1" applyProtection="1">
      <alignment horizontal="right" vertical="center" wrapText="1"/>
      <protection/>
    </xf>
    <xf numFmtId="176" fontId="16" fillId="0" borderId="40" xfId="0" applyNumberFormat="1" applyFont="1" applyFill="1" applyBorder="1" applyAlignment="1" applyProtection="1">
      <alignment horizontal="right" vertical="center" wrapText="1"/>
      <protection/>
    </xf>
    <xf numFmtId="176" fontId="16" fillId="0" borderId="41" xfId="0" applyNumberFormat="1" applyFont="1" applyFill="1" applyBorder="1" applyAlignment="1" applyProtection="1">
      <alignment horizontal="right" vertical="center" wrapText="1"/>
      <protection/>
    </xf>
    <xf numFmtId="176" fontId="16" fillId="33" borderId="42" xfId="0" applyNumberFormat="1" applyFont="1" applyFill="1" applyBorder="1" applyAlignment="1" applyProtection="1">
      <alignment horizontal="right" vertical="center" wrapText="1"/>
      <protection/>
    </xf>
    <xf numFmtId="176" fontId="16" fillId="0" borderId="43" xfId="0" applyNumberFormat="1" applyFont="1" applyFill="1" applyBorder="1" applyAlignment="1" applyProtection="1">
      <alignment horizontal="right" vertical="center" wrapText="1"/>
      <protection/>
    </xf>
    <xf numFmtId="176" fontId="16" fillId="33" borderId="44" xfId="0" applyNumberFormat="1" applyFont="1" applyFill="1" applyBorder="1" applyAlignment="1" applyProtection="1">
      <alignment horizontal="right" vertical="center" wrapText="1"/>
      <protection/>
    </xf>
    <xf numFmtId="176" fontId="16" fillId="0" borderId="45" xfId="0" applyNumberFormat="1" applyFont="1" applyFill="1" applyBorder="1" applyAlignment="1" applyProtection="1">
      <alignment horizontal="right" vertical="center" wrapText="1"/>
      <protection/>
    </xf>
    <xf numFmtId="176" fontId="16" fillId="33" borderId="46" xfId="0" applyNumberFormat="1" applyFont="1" applyFill="1" applyBorder="1" applyAlignment="1" applyProtection="1">
      <alignment horizontal="right" vertical="center" wrapText="1"/>
      <protection/>
    </xf>
    <xf numFmtId="0" fontId="149" fillId="0" borderId="0" xfId="0" applyFont="1" applyBorder="1" applyAlignment="1" applyProtection="1">
      <alignment horizontal="center" vertical="center"/>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9" fillId="0" borderId="0" xfId="0" applyFont="1" applyAlignment="1" applyProtection="1">
      <alignment horizontal="center" vertical="center"/>
      <protection locked="0"/>
    </xf>
    <xf numFmtId="194" fontId="0" fillId="33" borderId="0" xfId="50" applyNumberFormat="1" applyFont="1" applyFill="1" applyBorder="1" applyAlignment="1" applyProtection="1">
      <alignment vertical="center"/>
      <protection locked="0"/>
    </xf>
    <xf numFmtId="0" fontId="149" fillId="0" borderId="0" xfId="0" applyFont="1" applyBorder="1" applyAlignment="1" applyProtection="1">
      <alignment horizontal="center" vertical="center"/>
      <protection locked="0"/>
    </xf>
    <xf numFmtId="0" fontId="138" fillId="0" borderId="36" xfId="0" applyFont="1" applyBorder="1" applyAlignment="1" applyProtection="1">
      <alignment vertical="center"/>
      <protection locked="0"/>
    </xf>
    <xf numFmtId="0" fontId="162"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52" fillId="0" borderId="0" xfId="0" applyFont="1" applyAlignment="1" applyProtection="1">
      <alignment vertical="center"/>
      <protection locked="0"/>
    </xf>
    <xf numFmtId="0" fontId="163" fillId="0" borderId="0" xfId="0" applyFont="1" applyAlignment="1" applyProtection="1">
      <alignment horizontal="left" vertical="center"/>
      <protection locked="0"/>
    </xf>
    <xf numFmtId="0" fontId="164" fillId="0" borderId="0" xfId="0" applyFont="1" applyAlignment="1" applyProtection="1">
      <alignment horizontal="left" vertical="center"/>
      <protection locked="0"/>
    </xf>
    <xf numFmtId="0" fontId="165" fillId="33" borderId="0" xfId="0" applyFont="1" applyFill="1" applyAlignment="1" applyProtection="1">
      <alignment vertical="center"/>
      <protection locked="0"/>
    </xf>
    <xf numFmtId="0" fontId="162" fillId="0" borderId="0" xfId="0" applyFont="1" applyBorder="1" applyAlignment="1" applyProtection="1">
      <alignment horizontal="center" vertical="center"/>
      <protection locked="0"/>
    </xf>
    <xf numFmtId="0" fontId="166" fillId="0" borderId="0" xfId="0" applyFont="1" applyAlignment="1" applyProtection="1">
      <alignment vertical="center"/>
      <protection locked="0"/>
    </xf>
    <xf numFmtId="0" fontId="139" fillId="33" borderId="0" xfId="0" applyFont="1" applyFill="1" applyAlignment="1" applyProtection="1">
      <alignment horizontal="right" vertical="center"/>
      <protection/>
    </xf>
    <xf numFmtId="0" fontId="7" fillId="33" borderId="36" xfId="0" applyFont="1" applyFill="1" applyBorder="1" applyAlignment="1" applyProtection="1">
      <alignment horizontal="left" vertical="center"/>
      <protection/>
    </xf>
    <xf numFmtId="0" fontId="0" fillId="33" borderId="0" xfId="0" applyFont="1" applyFill="1" applyAlignment="1" applyProtection="1">
      <alignment horizontal="left" vertical="center"/>
      <protection locked="0"/>
    </xf>
    <xf numFmtId="0" fontId="161" fillId="33" borderId="32" xfId="0" applyFont="1" applyFill="1" applyBorder="1" applyAlignment="1" applyProtection="1">
      <alignment horizontal="right" vertical="center" wrapText="1"/>
      <protection locked="0"/>
    </xf>
    <xf numFmtId="0" fontId="161" fillId="33" borderId="34" xfId="0" applyFont="1" applyFill="1" applyBorder="1" applyAlignment="1" applyProtection="1">
      <alignment horizontal="right" vertical="center" wrapText="1"/>
      <protection locked="0"/>
    </xf>
    <xf numFmtId="0" fontId="137" fillId="0" borderId="39" xfId="0" applyFont="1" applyBorder="1" applyAlignment="1" applyProtection="1">
      <alignment horizontal="center" vertical="center" wrapText="1"/>
      <protection locked="0"/>
    </xf>
    <xf numFmtId="0" fontId="137" fillId="0" borderId="46" xfId="0" applyFont="1" applyBorder="1" applyAlignment="1" applyProtection="1">
      <alignment horizontal="center" vertical="center" wrapText="1"/>
      <protection locked="0"/>
    </xf>
    <xf numFmtId="176" fontId="160" fillId="33" borderId="47" xfId="0" applyNumberFormat="1" applyFont="1" applyFill="1" applyBorder="1" applyAlignment="1" applyProtection="1">
      <alignment horizontal="right" vertical="center" wrapText="1"/>
      <protection/>
    </xf>
    <xf numFmtId="176" fontId="160" fillId="33" borderId="48" xfId="0" applyNumberFormat="1" applyFont="1" applyFill="1" applyBorder="1" applyAlignment="1" applyProtection="1">
      <alignment horizontal="right" vertical="center" wrapText="1"/>
      <protection locked="0"/>
    </xf>
    <xf numFmtId="176" fontId="16" fillId="33" borderId="18" xfId="0" applyNumberFormat="1" applyFont="1" applyFill="1" applyBorder="1" applyAlignment="1" applyProtection="1">
      <alignment horizontal="right" vertical="center" wrapText="1"/>
      <protection/>
    </xf>
    <xf numFmtId="176" fontId="16" fillId="33" borderId="49" xfId="0" applyNumberFormat="1" applyFont="1" applyFill="1" applyBorder="1" applyAlignment="1" applyProtection="1">
      <alignment horizontal="right" vertical="center" wrapText="1"/>
      <protection/>
    </xf>
    <xf numFmtId="176" fontId="160" fillId="33" borderId="50" xfId="0" applyNumberFormat="1" applyFont="1" applyFill="1" applyBorder="1" applyAlignment="1" applyProtection="1">
      <alignment horizontal="right" vertical="center" wrapText="1"/>
      <protection/>
    </xf>
    <xf numFmtId="0" fontId="167" fillId="0" borderId="0" xfId="0" applyFont="1" applyBorder="1" applyAlignment="1">
      <alignment horizontal="center" vertical="center" wrapText="1"/>
    </xf>
    <xf numFmtId="0" fontId="167" fillId="0" borderId="0" xfId="0" applyFont="1" applyBorder="1" applyAlignment="1">
      <alignment vertical="center" wrapText="1"/>
    </xf>
    <xf numFmtId="0" fontId="167" fillId="0" borderId="0" xfId="0" applyFont="1" applyAlignment="1">
      <alignment horizontal="center" vertical="center" wrapText="1"/>
    </xf>
    <xf numFmtId="0" fontId="135" fillId="0" borderId="0" xfId="0" applyFont="1" applyAlignment="1">
      <alignment vertical="center"/>
    </xf>
    <xf numFmtId="0" fontId="135" fillId="0" borderId="0" xfId="0" applyFont="1" applyBorder="1" applyAlignment="1">
      <alignment horizontal="center" vertical="center"/>
    </xf>
    <xf numFmtId="0" fontId="135" fillId="0" borderId="0" xfId="0" applyFont="1" applyBorder="1" applyAlignment="1">
      <alignment vertical="center"/>
    </xf>
    <xf numFmtId="0" fontId="135" fillId="0" borderId="0" xfId="0" applyFont="1" applyBorder="1" applyAlignment="1">
      <alignment vertical="center" wrapText="1"/>
    </xf>
    <xf numFmtId="49" fontId="135" fillId="0" borderId="0" xfId="0" applyNumberFormat="1" applyFont="1" applyBorder="1" applyAlignment="1" quotePrefix="1">
      <alignment horizontal="right" vertical="center"/>
    </xf>
    <xf numFmtId="0" fontId="135" fillId="0" borderId="0" xfId="0" applyFont="1" applyAlignment="1">
      <alignment horizontal="center" vertical="center"/>
    </xf>
    <xf numFmtId="49" fontId="135" fillId="0" borderId="0" xfId="0" applyNumberFormat="1" applyFont="1" applyBorder="1" applyAlignment="1">
      <alignment horizontal="right" vertical="center"/>
    </xf>
    <xf numFmtId="0" fontId="135" fillId="0" borderId="0" xfId="0" applyFont="1" applyBorder="1" applyAlignment="1">
      <alignment horizontal="left" vertical="center" indent="1"/>
    </xf>
    <xf numFmtId="0" fontId="135" fillId="33" borderId="0" xfId="0" applyFont="1" applyFill="1" applyBorder="1" applyAlignment="1">
      <alignment vertical="center"/>
    </xf>
    <xf numFmtId="0" fontId="137" fillId="0" borderId="49" xfId="0" applyFont="1" applyBorder="1" applyAlignment="1" applyProtection="1">
      <alignment horizontal="center" vertical="center" wrapText="1"/>
      <protection locked="0"/>
    </xf>
    <xf numFmtId="176" fontId="160" fillId="33" borderId="51" xfId="0" applyNumberFormat="1" applyFont="1" applyFill="1" applyBorder="1" applyAlignment="1" applyProtection="1">
      <alignment horizontal="right" vertical="center" wrapText="1"/>
      <protection/>
    </xf>
    <xf numFmtId="0" fontId="139" fillId="33" borderId="0" xfId="0" applyFont="1" applyFill="1" applyAlignment="1" applyProtection="1">
      <alignment horizontal="left" vertical="center"/>
      <protection/>
    </xf>
    <xf numFmtId="0" fontId="139" fillId="0" borderId="0" xfId="0" applyFont="1" applyAlignment="1" applyProtection="1">
      <alignment horizontal="center" vertical="center"/>
      <protection locked="0"/>
    </xf>
    <xf numFmtId="38" fontId="12" fillId="0" borderId="0" xfId="53" applyFont="1" applyFill="1" applyBorder="1" applyAlignment="1" applyProtection="1">
      <alignment vertical="top" wrapText="1"/>
      <protection locked="0"/>
    </xf>
    <xf numFmtId="188" fontId="148" fillId="0" borderId="0" xfId="0" applyNumberFormat="1" applyFont="1" applyBorder="1" applyAlignment="1" applyProtection="1">
      <alignment horizontal="right" vertical="center"/>
      <protection/>
    </xf>
    <xf numFmtId="188" fontId="139" fillId="0" borderId="0" xfId="0" applyNumberFormat="1" applyFont="1" applyBorder="1" applyAlignment="1" applyProtection="1">
      <alignment horizontal="right" vertical="center"/>
      <protection/>
    </xf>
    <xf numFmtId="0" fontId="161" fillId="0" borderId="0" xfId="0" applyFont="1" applyAlignment="1" applyProtection="1" quotePrefix="1">
      <alignment horizontal="left" vertical="center"/>
      <protection locked="0"/>
    </xf>
    <xf numFmtId="0" fontId="139" fillId="0" borderId="0" xfId="0" applyFont="1" applyBorder="1" applyAlignment="1" applyProtection="1" quotePrefix="1">
      <alignment horizontal="center" vertical="center"/>
      <protection locked="0"/>
    </xf>
    <xf numFmtId="216" fontId="139" fillId="0" borderId="0" xfId="0" applyNumberFormat="1" applyFont="1" applyAlignment="1" applyProtection="1">
      <alignment horizontal="center" vertical="center"/>
      <protection/>
    </xf>
    <xf numFmtId="216" fontId="148" fillId="0" borderId="0" xfId="0" applyNumberFormat="1" applyFont="1" applyBorder="1" applyAlignment="1" applyProtection="1">
      <alignment vertical="center"/>
      <protection/>
    </xf>
    <xf numFmtId="0" fontId="0" fillId="33" borderId="0" xfId="0" applyFont="1" applyFill="1" applyBorder="1" applyAlignment="1" applyProtection="1">
      <alignment vertical="center"/>
      <protection/>
    </xf>
    <xf numFmtId="0" fontId="168" fillId="0" borderId="0" xfId="0" applyFont="1" applyBorder="1" applyAlignment="1" applyProtection="1">
      <alignment vertical="center"/>
      <protection locked="0"/>
    </xf>
    <xf numFmtId="0" fontId="168"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162" fillId="0" borderId="0" xfId="0" applyFont="1" applyAlignment="1" applyProtection="1">
      <alignment horizontal="right" vertical="center"/>
      <protection locked="0"/>
    </xf>
    <xf numFmtId="187" fontId="139" fillId="0" borderId="0" xfId="0" applyNumberFormat="1" applyFont="1" applyAlignment="1" applyProtection="1">
      <alignment horizontal="right" vertical="center"/>
      <protection locked="0"/>
    </xf>
    <xf numFmtId="0" fontId="139" fillId="0" borderId="0" xfId="0" applyFont="1" applyAlignment="1">
      <alignment vertical="center"/>
    </xf>
    <xf numFmtId="0" fontId="0" fillId="0" borderId="0" xfId="0" applyAlignment="1" applyProtection="1">
      <alignment horizontal="left" vertical="center" indent="3"/>
      <protection locked="0"/>
    </xf>
    <xf numFmtId="38" fontId="169" fillId="0" borderId="0" xfId="50" applyFont="1" applyBorder="1" applyAlignment="1" applyProtection="1">
      <alignment horizontal="left" vertical="center"/>
      <protection/>
    </xf>
    <xf numFmtId="0" fontId="170" fillId="0" borderId="22" xfId="0" applyFont="1" applyBorder="1" applyAlignment="1" applyProtection="1">
      <alignment vertical="center"/>
      <protection locked="0"/>
    </xf>
    <xf numFmtId="0" fontId="139" fillId="0" borderId="0" xfId="0" applyFont="1" applyAlignment="1" applyProtection="1">
      <alignment/>
      <protection locked="0"/>
    </xf>
    <xf numFmtId="0" fontId="170" fillId="33" borderId="0" xfId="0" applyFont="1" applyFill="1" applyAlignment="1" applyProtection="1">
      <alignment horizontal="left" vertical="center" indent="1"/>
      <protection locked="0"/>
    </xf>
    <xf numFmtId="0" fontId="0" fillId="33" borderId="0" xfId="0" applyFont="1" applyFill="1" applyAlignment="1" applyProtection="1">
      <alignment horizontal="left" vertical="center" indent="1"/>
      <protection locked="0"/>
    </xf>
    <xf numFmtId="0" fontId="171" fillId="33" borderId="0" xfId="0" applyFont="1" applyFill="1" applyAlignment="1" applyProtection="1">
      <alignment horizontal="left" vertical="center" indent="1"/>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38" fontId="139" fillId="0" borderId="0" xfId="50" applyFont="1" applyFill="1" applyBorder="1" applyAlignment="1" applyProtection="1">
      <alignment horizontal="right" vertical="center"/>
      <protection/>
    </xf>
    <xf numFmtId="0" fontId="0" fillId="0" borderId="52" xfId="0" applyFont="1" applyFill="1" applyBorder="1" applyAlignment="1" applyProtection="1">
      <alignment horizontal="center" vertical="center"/>
      <protection locked="0"/>
    </xf>
    <xf numFmtId="38" fontId="139" fillId="0" borderId="0" xfId="50" applyFont="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Border="1" applyAlignment="1" applyProtection="1">
      <alignment horizontal="left"/>
      <protection locked="0"/>
    </xf>
    <xf numFmtId="38" fontId="139" fillId="0" borderId="0" xfId="50" applyFont="1" applyBorder="1" applyAlignment="1" applyProtection="1">
      <alignment horizontal="right" vertical="center"/>
      <protection locked="0"/>
    </xf>
    <xf numFmtId="38" fontId="149" fillId="7" borderId="53" xfId="50" applyFont="1" applyFill="1" applyBorder="1" applyAlignment="1" applyProtection="1">
      <alignment horizontal="right" vertical="center"/>
      <protection locked="0"/>
    </xf>
    <xf numFmtId="38" fontId="149" fillId="7" borderId="46" xfId="50" applyFont="1" applyFill="1" applyBorder="1" applyAlignment="1" applyProtection="1">
      <alignment horizontal="right" vertical="center"/>
      <protection locked="0"/>
    </xf>
    <xf numFmtId="38" fontId="149" fillId="7" borderId="13" xfId="50" applyFont="1" applyFill="1" applyBorder="1" applyAlignment="1" applyProtection="1">
      <alignment horizontal="right" vertical="center"/>
      <protection locked="0"/>
    </xf>
    <xf numFmtId="38" fontId="149" fillId="0" borderId="13" xfId="50" applyFont="1" applyFill="1" applyBorder="1" applyAlignment="1" applyProtection="1">
      <alignment horizontal="right" vertical="center"/>
      <protection locked="0"/>
    </xf>
    <xf numFmtId="38" fontId="149" fillId="7" borderId="19" xfId="50" applyFont="1" applyFill="1" applyBorder="1" applyAlignment="1" applyProtection="1">
      <alignment horizontal="right" vertical="center"/>
      <protection locked="0"/>
    </xf>
    <xf numFmtId="38" fontId="139" fillId="33" borderId="0" xfId="50" applyFont="1" applyFill="1" applyBorder="1" applyAlignment="1" applyProtection="1">
      <alignment horizontal="right" vertical="center"/>
      <protection/>
    </xf>
    <xf numFmtId="0" fontId="0" fillId="0" borderId="0" xfId="0" applyAlignment="1">
      <alignment horizontal="center" vertical="center"/>
    </xf>
    <xf numFmtId="0" fontId="20" fillId="0" borderId="0" xfId="0" applyFont="1" applyAlignment="1" applyProtection="1">
      <alignment vertical="center"/>
      <protection locked="0"/>
    </xf>
    <xf numFmtId="0" fontId="3" fillId="0" borderId="0" xfId="0" applyFont="1" applyAlignment="1" applyProtection="1">
      <alignment vertical="center"/>
      <protection locked="0"/>
    </xf>
    <xf numFmtId="0" fontId="168" fillId="0" borderId="0" xfId="0" applyFont="1" applyAlignment="1" applyProtection="1">
      <alignment horizontal="center" vertical="center"/>
      <protection locked="0"/>
    </xf>
    <xf numFmtId="0" fontId="20" fillId="0" borderId="0" xfId="0" applyFont="1" applyBorder="1" applyAlignment="1" applyProtection="1">
      <alignment vertical="center"/>
      <protection locked="0"/>
    </xf>
    <xf numFmtId="0" fontId="140" fillId="0" borderId="0" xfId="0" applyFont="1" applyAlignment="1">
      <alignment vertical="center"/>
    </xf>
    <xf numFmtId="0" fontId="22" fillId="0" borderId="0" xfId="0" applyFont="1" applyAlignment="1" applyProtection="1">
      <alignment vertical="center"/>
      <protection locked="0"/>
    </xf>
    <xf numFmtId="0" fontId="172" fillId="0" borderId="0" xfId="0" applyFont="1" applyAlignment="1" applyProtection="1">
      <alignment horizontal="center" vertical="center"/>
      <protection locked="0"/>
    </xf>
    <xf numFmtId="0" fontId="3" fillId="0" borderId="31" xfId="0" applyFont="1" applyBorder="1" applyAlignment="1" applyProtection="1">
      <alignment vertical="center" wrapText="1"/>
      <protection locked="0"/>
    </xf>
    <xf numFmtId="0" fontId="3" fillId="0" borderId="44"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176" fontId="8"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8" fillId="0" borderId="0" xfId="0" applyNumberFormat="1" applyFont="1" applyFill="1" applyBorder="1" applyAlignment="1" applyProtection="1">
      <alignment horizontal="right" vertical="center" wrapText="1"/>
      <protection/>
    </xf>
    <xf numFmtId="0" fontId="3" fillId="0" borderId="21" xfId="0" applyFont="1" applyBorder="1" applyAlignment="1" applyProtection="1">
      <alignment vertical="center" wrapText="1"/>
      <protection locked="0"/>
    </xf>
    <xf numFmtId="213" fontId="3" fillId="0" borderId="13" xfId="50" applyNumberFormat="1" applyFont="1" applyFill="1" applyBorder="1" applyAlignment="1" applyProtection="1">
      <alignment vertical="center" wrapText="1"/>
      <protection locked="0"/>
    </xf>
    <xf numFmtId="213" fontId="3" fillId="0" borderId="29" xfId="50" applyNumberFormat="1" applyFont="1" applyFill="1" applyBorder="1" applyAlignment="1" applyProtection="1">
      <alignment vertical="center" wrapText="1"/>
      <protection/>
    </xf>
    <xf numFmtId="0" fontId="3" fillId="0" borderId="15" xfId="0" applyFont="1" applyBorder="1" applyAlignment="1" applyProtection="1">
      <alignment vertical="center" wrapText="1"/>
      <protection locked="0"/>
    </xf>
    <xf numFmtId="213" fontId="3" fillId="0" borderId="56" xfId="50" applyNumberFormat="1" applyFont="1" applyFill="1" applyBorder="1" applyAlignment="1" applyProtection="1">
      <alignment vertical="center" wrapText="1"/>
      <protection/>
    </xf>
    <xf numFmtId="213" fontId="3" fillId="0" borderId="19" xfId="50" applyNumberFormat="1" applyFont="1" applyFill="1" applyBorder="1" applyAlignment="1" applyProtection="1">
      <alignment vertical="center" wrapText="1"/>
      <protection/>
    </xf>
    <xf numFmtId="0" fontId="3" fillId="0" borderId="13" xfId="0" applyFont="1" applyBorder="1" applyAlignment="1" applyProtection="1">
      <alignment horizontal="center" vertical="center" wrapText="1"/>
      <protection/>
    </xf>
    <xf numFmtId="213" fontId="3" fillId="0" borderId="13" xfId="50" applyNumberFormat="1" applyFont="1" applyFill="1" applyBorder="1" applyAlignment="1" applyProtection="1">
      <alignment vertical="center" wrapText="1"/>
      <protection/>
    </xf>
    <xf numFmtId="0" fontId="3" fillId="0" borderId="29" xfId="0" applyFont="1" applyBorder="1" applyAlignment="1" applyProtection="1">
      <alignment horizontal="center" vertical="center" wrapText="1"/>
      <protection/>
    </xf>
    <xf numFmtId="0" fontId="168" fillId="0" borderId="0" xfId="0" applyFont="1" applyBorder="1" applyAlignment="1" applyProtection="1">
      <alignment horizontal="center" vertical="center"/>
      <protection locked="0"/>
    </xf>
    <xf numFmtId="0" fontId="162" fillId="0" borderId="0" xfId="0" applyFont="1" applyAlignment="1">
      <alignment horizontal="right" vertical="center"/>
    </xf>
    <xf numFmtId="38" fontId="13" fillId="0" borderId="57" xfId="50" applyFont="1" applyFill="1" applyBorder="1" applyAlignment="1" applyProtection="1">
      <alignment vertical="center"/>
      <protection/>
    </xf>
    <xf numFmtId="176" fontId="13" fillId="0" borderId="57" xfId="0" applyNumberFormat="1" applyFont="1" applyBorder="1" applyAlignment="1" applyProtection="1">
      <alignment horizontal="right" vertical="center"/>
      <protection/>
    </xf>
    <xf numFmtId="176" fontId="13" fillId="0" borderId="58" xfId="0" applyNumberFormat="1" applyFont="1" applyFill="1" applyBorder="1" applyAlignment="1" applyProtection="1">
      <alignment horizontal="right" vertical="center" wrapText="1"/>
      <protection/>
    </xf>
    <xf numFmtId="38" fontId="13" fillId="0" borderId="58" xfId="50" applyFont="1" applyFill="1" applyBorder="1" applyAlignment="1" applyProtection="1">
      <alignment vertical="center"/>
      <protection/>
    </xf>
    <xf numFmtId="176" fontId="13" fillId="0" borderId="58" xfId="0" applyNumberFormat="1" applyFont="1" applyBorder="1" applyAlignment="1" applyProtection="1">
      <alignment horizontal="right" vertical="center"/>
      <protection/>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168" fillId="0" borderId="0" xfId="0" applyFont="1" applyFill="1" applyAlignment="1" applyProtection="1">
      <alignment vertical="center"/>
      <protection locked="0"/>
    </xf>
    <xf numFmtId="0" fontId="162" fillId="0" borderId="0" xfId="0" applyFont="1" applyAlignment="1">
      <alignment horizontal="right" vertical="center" wrapText="1"/>
    </xf>
    <xf numFmtId="176" fontId="13" fillId="0" borderId="13" xfId="0" applyNumberFormat="1" applyFont="1" applyFill="1" applyBorder="1" applyAlignment="1" applyProtection="1">
      <alignment horizontal="right" vertical="center" wrapText="1"/>
      <protection/>
    </xf>
    <xf numFmtId="176" fontId="13" fillId="0" borderId="58" xfId="0" applyNumberFormat="1" applyFont="1" applyFill="1" applyBorder="1" applyAlignment="1" applyProtection="1">
      <alignment horizontal="right" vertical="center"/>
      <protection/>
    </xf>
    <xf numFmtId="176" fontId="13" fillId="0" borderId="59" xfId="0" applyNumberFormat="1" applyFont="1" applyFill="1" applyBorder="1" applyAlignment="1" applyProtection="1">
      <alignment horizontal="right" vertical="center" wrapText="1"/>
      <protection/>
    </xf>
    <xf numFmtId="38" fontId="13" fillId="0" borderId="59" xfId="50" applyFont="1" applyFill="1" applyBorder="1" applyAlignment="1" applyProtection="1">
      <alignment vertical="center"/>
      <protection/>
    </xf>
    <xf numFmtId="176" fontId="13" fillId="0" borderId="15" xfId="0" applyNumberFormat="1" applyFont="1" applyFill="1" applyBorder="1" applyAlignment="1" applyProtection="1">
      <alignment horizontal="right" vertical="center" wrapText="1"/>
      <protection/>
    </xf>
    <xf numFmtId="0" fontId="173" fillId="0" borderId="0" xfId="0" applyFont="1" applyAlignment="1" applyProtection="1">
      <alignment vertical="center"/>
      <protection locked="0"/>
    </xf>
    <xf numFmtId="0" fontId="173" fillId="0" borderId="0" xfId="0" applyFont="1" applyAlignment="1" applyProtection="1">
      <alignment horizontal="center" vertical="center"/>
      <protection locked="0"/>
    </xf>
    <xf numFmtId="0" fontId="135" fillId="0" borderId="0" xfId="0" applyFont="1" applyFill="1" applyBorder="1" applyAlignment="1" applyProtection="1">
      <alignment horizontal="center" vertical="center" textRotation="255"/>
      <protection locked="0"/>
    </xf>
    <xf numFmtId="0" fontId="174" fillId="33" borderId="0" xfId="0" applyFont="1" applyFill="1" applyBorder="1" applyAlignment="1" applyProtection="1">
      <alignment vertical="center"/>
      <protection/>
    </xf>
    <xf numFmtId="213" fontId="157" fillId="0" borderId="13" xfId="0" applyNumberFormat="1" applyFont="1" applyBorder="1" applyAlignment="1" applyProtection="1">
      <alignment horizontal="center" vertical="center"/>
      <protection/>
    </xf>
    <xf numFmtId="0" fontId="157" fillId="0" borderId="0" xfId="0" applyFont="1" applyBorder="1" applyAlignment="1" applyProtection="1">
      <alignment horizontal="center" vertical="center"/>
      <protection locked="0"/>
    </xf>
    <xf numFmtId="0" fontId="174" fillId="0" borderId="60" xfId="0" applyFont="1" applyFill="1" applyBorder="1" applyAlignment="1" applyProtection="1">
      <alignment horizontal="left" vertical="center"/>
      <protection/>
    </xf>
    <xf numFmtId="0" fontId="174" fillId="0" borderId="61" xfId="0" applyFont="1" applyFill="1" applyBorder="1" applyAlignment="1" applyProtection="1">
      <alignment horizontal="left" vertical="center"/>
      <protection/>
    </xf>
    <xf numFmtId="213" fontId="20" fillId="0" borderId="0" xfId="50" applyNumberFormat="1" applyFont="1" applyFill="1" applyBorder="1" applyAlignment="1" applyProtection="1">
      <alignment horizontal="center" vertical="center"/>
      <protection locked="0"/>
    </xf>
    <xf numFmtId="213" fontId="20" fillId="0" borderId="0" xfId="50" applyNumberFormat="1" applyFont="1" applyFill="1" applyBorder="1" applyAlignment="1" applyProtection="1">
      <alignment horizontal="right" vertical="center"/>
      <protection/>
    </xf>
    <xf numFmtId="0" fontId="175" fillId="0" borderId="0" xfId="0" applyFont="1" applyFill="1" applyBorder="1" applyAlignment="1" applyProtection="1">
      <alignment horizontal="center" vertical="center" wrapText="1" shrinkToFit="1"/>
      <protection/>
    </xf>
    <xf numFmtId="176" fontId="135"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38" fontId="168" fillId="0" borderId="0" xfId="0" applyNumberFormat="1" applyFont="1" applyAlignment="1" applyProtection="1">
      <alignment vertical="center"/>
      <protection locked="0"/>
    </xf>
    <xf numFmtId="176" fontId="157" fillId="0" borderId="0" xfId="0" applyNumberFormat="1" applyFont="1" applyFill="1" applyBorder="1" applyAlignment="1" applyProtection="1">
      <alignment horizontal="left" vertical="center" wrapText="1" indent="3"/>
      <protection/>
    </xf>
    <xf numFmtId="0" fontId="163" fillId="0" borderId="0" xfId="0" applyFont="1" applyAlignment="1" applyProtection="1">
      <alignment horizontal="left"/>
      <protection locked="0"/>
    </xf>
    <xf numFmtId="176" fontId="168" fillId="0" borderId="0" xfId="0" applyNumberFormat="1" applyFont="1" applyAlignment="1" applyProtection="1">
      <alignment vertical="center"/>
      <protection locked="0"/>
    </xf>
    <xf numFmtId="0" fontId="176" fillId="0" borderId="0" xfId="0" applyFont="1" applyAlignment="1" applyProtection="1">
      <alignment horizontal="left" vertical="center" indent="2"/>
      <protection locked="0"/>
    </xf>
    <xf numFmtId="0" fontId="176" fillId="0" borderId="0" xfId="0" applyFont="1" applyAlignment="1" applyProtection="1">
      <alignment horizontal="left" vertical="center" indent="3"/>
      <protection locked="0"/>
    </xf>
    <xf numFmtId="0" fontId="0" fillId="0" borderId="0" xfId="0" applyBorder="1" applyAlignment="1">
      <alignment vertical="center"/>
    </xf>
    <xf numFmtId="0" fontId="177" fillId="0" borderId="0" xfId="0" applyFont="1" applyAlignment="1" applyProtection="1">
      <alignment horizontal="left" vertical="center"/>
      <protection locked="0"/>
    </xf>
    <xf numFmtId="0" fontId="178" fillId="0" borderId="0" xfId="0" applyFont="1" applyBorder="1" applyAlignment="1" applyProtection="1">
      <alignment vertical="top" wrapText="1"/>
      <protection locked="0"/>
    </xf>
    <xf numFmtId="0" fontId="146" fillId="0" borderId="0" xfId="0" applyFont="1" applyAlignment="1" applyProtection="1">
      <alignment vertical="center"/>
      <protection locked="0"/>
    </xf>
    <xf numFmtId="0" fontId="179" fillId="0" borderId="0" xfId="0" applyFont="1" applyAlignment="1" applyProtection="1">
      <alignment vertical="center"/>
      <protection locked="0"/>
    </xf>
    <xf numFmtId="0" fontId="180" fillId="0" borderId="0" xfId="0" applyFont="1" applyAlignment="1" applyProtection="1">
      <alignment vertical="center"/>
      <protection locked="0"/>
    </xf>
    <xf numFmtId="0" fontId="181" fillId="0" borderId="0" xfId="0" applyFont="1" applyAlignment="1" applyProtection="1">
      <alignment vertical="center"/>
      <protection locked="0"/>
    </xf>
    <xf numFmtId="0" fontId="181" fillId="0" borderId="0" xfId="0" applyFont="1" applyFill="1" applyAlignment="1" applyProtection="1">
      <alignment vertical="center"/>
      <protection locked="0"/>
    </xf>
    <xf numFmtId="0" fontId="158" fillId="0" borderId="0" xfId="0" applyFont="1" applyFill="1" applyAlignment="1" applyProtection="1">
      <alignment vertical="center"/>
      <protection locked="0"/>
    </xf>
    <xf numFmtId="176" fontId="182" fillId="0" borderId="62" xfId="0" applyNumberFormat="1" applyFont="1" applyFill="1" applyBorder="1" applyAlignment="1" applyProtection="1">
      <alignment horizontal="right" vertical="center" wrapText="1"/>
      <protection locked="0"/>
    </xf>
    <xf numFmtId="176" fontId="182" fillId="0" borderId="63" xfId="0" applyNumberFormat="1" applyFont="1" applyFill="1" applyBorder="1" applyAlignment="1" applyProtection="1">
      <alignment horizontal="right" vertical="center" wrapText="1"/>
      <protection locked="0"/>
    </xf>
    <xf numFmtId="176" fontId="182" fillId="0" borderId="64" xfId="0" applyNumberFormat="1" applyFont="1" applyFill="1" applyBorder="1" applyAlignment="1" applyProtection="1">
      <alignment horizontal="right" vertical="center" wrapText="1"/>
      <protection locked="0"/>
    </xf>
    <xf numFmtId="176" fontId="182" fillId="0" borderId="18" xfId="0" applyNumberFormat="1" applyFont="1" applyFill="1" applyBorder="1" applyAlignment="1" applyProtection="1">
      <alignment horizontal="right" vertical="center" wrapText="1"/>
      <protection locked="0"/>
    </xf>
    <xf numFmtId="0" fontId="139" fillId="0" borderId="0" xfId="0" applyFont="1" applyAlignment="1" applyProtection="1">
      <alignment horizontal="right" vertical="center"/>
      <protection locked="0"/>
    </xf>
    <xf numFmtId="0" fontId="183" fillId="0" borderId="0" xfId="0" applyFont="1" applyAlignment="1">
      <alignment vertical="center"/>
    </xf>
    <xf numFmtId="0" fontId="146" fillId="33" borderId="65" xfId="0" applyFont="1" applyFill="1" applyBorder="1" applyAlignment="1" applyProtection="1">
      <alignment horizontal="center" vertical="center" wrapText="1"/>
      <protection locked="0"/>
    </xf>
    <xf numFmtId="0" fontId="146" fillId="33" borderId="66" xfId="0" applyFont="1" applyFill="1" applyBorder="1" applyAlignment="1" applyProtection="1">
      <alignment horizontal="center" vertical="center" wrapText="1"/>
      <protection locked="0"/>
    </xf>
    <xf numFmtId="0" fontId="146" fillId="33" borderId="67" xfId="0" applyFont="1" applyFill="1" applyBorder="1" applyAlignment="1" applyProtection="1">
      <alignment horizontal="center" vertical="center" wrapText="1"/>
      <protection locked="0"/>
    </xf>
    <xf numFmtId="0" fontId="146" fillId="33" borderId="68" xfId="0" applyFont="1" applyFill="1" applyBorder="1" applyAlignment="1" applyProtection="1">
      <alignment horizontal="center" vertical="center" wrapText="1"/>
      <protection locked="0"/>
    </xf>
    <xf numFmtId="0" fontId="146" fillId="33" borderId="69" xfId="0" applyFont="1" applyFill="1" applyBorder="1" applyAlignment="1" applyProtection="1">
      <alignment horizontal="center" vertical="center" wrapText="1"/>
      <protection locked="0"/>
    </xf>
    <xf numFmtId="0" fontId="146" fillId="33" borderId="70" xfId="0" applyFont="1" applyFill="1" applyBorder="1" applyAlignment="1" applyProtection="1">
      <alignment horizontal="center" vertical="center" wrapText="1"/>
      <protection locked="0"/>
    </xf>
    <xf numFmtId="0" fontId="146" fillId="33" borderId="71" xfId="0" applyFont="1" applyFill="1" applyBorder="1" applyAlignment="1" applyProtection="1">
      <alignment horizontal="center" vertical="center" wrapText="1"/>
      <protection locked="0"/>
    </xf>
    <xf numFmtId="0" fontId="146" fillId="33" borderId="72" xfId="0" applyFont="1" applyFill="1" applyBorder="1" applyAlignment="1" applyProtection="1">
      <alignment horizontal="center" vertical="center" wrapText="1"/>
      <protection locked="0"/>
    </xf>
    <xf numFmtId="0" fontId="146" fillId="33" borderId="73" xfId="0" applyFont="1" applyFill="1" applyBorder="1" applyAlignment="1" applyProtection="1">
      <alignment horizontal="center" vertical="center" wrapText="1"/>
      <protection locked="0"/>
    </xf>
    <xf numFmtId="0" fontId="146" fillId="33" borderId="74" xfId="0" applyFont="1" applyFill="1" applyBorder="1" applyAlignment="1" applyProtection="1">
      <alignment horizontal="center" vertical="center" wrapText="1"/>
      <protection locked="0"/>
    </xf>
    <xf numFmtId="176" fontId="16" fillId="0" borderId="75" xfId="0" applyNumberFormat="1" applyFont="1" applyFill="1" applyBorder="1" applyAlignment="1" applyProtection="1">
      <alignment horizontal="right" vertical="center" wrapText="1"/>
      <protection/>
    </xf>
    <xf numFmtId="176" fontId="16" fillId="0" borderId="76" xfId="0" applyNumberFormat="1" applyFont="1" applyFill="1" applyBorder="1" applyAlignment="1" applyProtection="1">
      <alignment horizontal="right" vertical="center" wrapText="1"/>
      <protection/>
    </xf>
    <xf numFmtId="176" fontId="16" fillId="0" borderId="77" xfId="0" applyNumberFormat="1" applyFont="1" applyFill="1" applyBorder="1" applyAlignment="1" applyProtection="1">
      <alignment horizontal="right" vertical="center" wrapText="1"/>
      <protection/>
    </xf>
    <xf numFmtId="176" fontId="16" fillId="0" borderId="78" xfId="0" applyNumberFormat="1" applyFont="1" applyFill="1" applyBorder="1" applyAlignment="1" applyProtection="1">
      <alignment horizontal="right" vertical="center" wrapText="1"/>
      <protection/>
    </xf>
    <xf numFmtId="176" fontId="16" fillId="0" borderId="79" xfId="0" applyNumberFormat="1" applyFont="1" applyFill="1" applyBorder="1" applyAlignment="1" applyProtection="1">
      <alignment horizontal="right" vertical="center" wrapText="1"/>
      <protection/>
    </xf>
    <xf numFmtId="176" fontId="16" fillId="0" borderId="80" xfId="0" applyNumberFormat="1" applyFont="1" applyFill="1" applyBorder="1" applyAlignment="1" applyProtection="1">
      <alignment horizontal="right" vertical="center" wrapText="1"/>
      <protection/>
    </xf>
    <xf numFmtId="176" fontId="16" fillId="0" borderId="81" xfId="0" applyNumberFormat="1" applyFont="1" applyFill="1" applyBorder="1" applyAlignment="1" applyProtection="1">
      <alignment horizontal="right" vertical="center" wrapText="1"/>
      <protection/>
    </xf>
    <xf numFmtId="176" fontId="16" fillId="0" borderId="82" xfId="0" applyNumberFormat="1" applyFont="1" applyFill="1" applyBorder="1" applyAlignment="1" applyProtection="1">
      <alignment horizontal="right" vertical="center" wrapText="1"/>
      <protection/>
    </xf>
    <xf numFmtId="176" fontId="16" fillId="0" borderId="83" xfId="0" applyNumberFormat="1" applyFont="1" applyFill="1" applyBorder="1" applyAlignment="1" applyProtection="1">
      <alignment horizontal="right" vertical="center" wrapText="1"/>
      <protection/>
    </xf>
    <xf numFmtId="176" fontId="16" fillId="0" borderId="84" xfId="0" applyNumberFormat="1" applyFont="1" applyFill="1" applyBorder="1" applyAlignment="1" applyProtection="1">
      <alignment horizontal="right" vertical="center" wrapText="1"/>
      <protection/>
    </xf>
    <xf numFmtId="176" fontId="16" fillId="0" borderId="85" xfId="0" applyNumberFormat="1" applyFont="1" applyFill="1" applyBorder="1" applyAlignment="1" applyProtection="1">
      <alignment horizontal="right" vertical="center" wrapText="1"/>
      <protection/>
    </xf>
    <xf numFmtId="0" fontId="146" fillId="33" borderId="86" xfId="0" applyFont="1" applyFill="1" applyBorder="1" applyAlignment="1" applyProtection="1">
      <alignment horizontal="center" vertical="center" wrapText="1"/>
      <protection locked="0"/>
    </xf>
    <xf numFmtId="0" fontId="146" fillId="33" borderId="87" xfId="0" applyFont="1" applyFill="1" applyBorder="1" applyAlignment="1" applyProtection="1">
      <alignment horizontal="center" vertical="center" wrapText="1"/>
      <protection locked="0"/>
    </xf>
    <xf numFmtId="0" fontId="146" fillId="33" borderId="88" xfId="0" applyFont="1" applyFill="1" applyBorder="1" applyAlignment="1" applyProtection="1">
      <alignment horizontal="center" vertical="center" wrapText="1"/>
      <protection locked="0"/>
    </xf>
    <xf numFmtId="0" fontId="146" fillId="33" borderId="89" xfId="0" applyFont="1" applyFill="1" applyBorder="1" applyAlignment="1" applyProtection="1">
      <alignment horizontal="center" vertical="center" wrapText="1"/>
      <protection locked="0"/>
    </xf>
    <xf numFmtId="0" fontId="146" fillId="33" borderId="90" xfId="0" applyFont="1" applyFill="1" applyBorder="1" applyAlignment="1" applyProtection="1">
      <alignment horizontal="center" vertical="center" wrapText="1"/>
      <protection locked="0"/>
    </xf>
    <xf numFmtId="0" fontId="146" fillId="33" borderId="91" xfId="0" applyFont="1" applyFill="1" applyBorder="1" applyAlignment="1" applyProtection="1">
      <alignment horizontal="center" vertical="center" wrapText="1"/>
      <protection locked="0"/>
    </xf>
    <xf numFmtId="0" fontId="146" fillId="33" borderId="92" xfId="0" applyFont="1" applyFill="1" applyBorder="1" applyAlignment="1" applyProtection="1">
      <alignment horizontal="center" vertical="center" wrapText="1"/>
      <protection locked="0"/>
    </xf>
    <xf numFmtId="0" fontId="146" fillId="33" borderId="93" xfId="0" applyFont="1" applyFill="1" applyBorder="1" applyAlignment="1" applyProtection="1">
      <alignment horizontal="center" vertical="center" wrapText="1"/>
      <protection locked="0"/>
    </xf>
    <xf numFmtId="0" fontId="146" fillId="33" borderId="94"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213" fontId="13" fillId="0" borderId="13" xfId="50" applyNumberFormat="1" applyFont="1" applyFill="1" applyBorder="1" applyAlignment="1" applyProtection="1">
      <alignment vertical="center"/>
      <protection/>
    </xf>
    <xf numFmtId="221" fontId="13" fillId="0" borderId="13" xfId="50" applyNumberFormat="1" applyFont="1" applyFill="1" applyBorder="1" applyAlignment="1" applyProtection="1">
      <alignment vertical="center"/>
      <protection/>
    </xf>
    <xf numFmtId="0" fontId="184" fillId="0" borderId="0" xfId="0" applyFont="1" applyFill="1" applyAlignment="1" applyProtection="1">
      <alignment horizontal="center" vertical="center"/>
      <protection/>
    </xf>
    <xf numFmtId="0" fontId="185"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top"/>
      <protection locked="0"/>
    </xf>
    <xf numFmtId="0" fontId="29" fillId="0" borderId="0" xfId="0" applyFont="1" applyAlignment="1" applyProtection="1">
      <alignment vertical="center"/>
      <protection locked="0"/>
    </xf>
    <xf numFmtId="0" fontId="28" fillId="0" borderId="0" xfId="0" applyFont="1" applyAlignment="1" applyProtection="1">
      <alignment horizontal="left" vertical="center" indent="1"/>
      <protection locked="0"/>
    </xf>
    <xf numFmtId="0" fontId="186" fillId="0" borderId="0" xfId="0" applyFont="1" applyFill="1" applyBorder="1" applyAlignment="1" applyProtection="1">
      <alignment vertical="center"/>
      <protection locked="0"/>
    </xf>
    <xf numFmtId="0" fontId="162" fillId="0" borderId="0" xfId="0" applyFont="1" applyFill="1" applyBorder="1" applyAlignment="1" applyProtection="1">
      <alignment horizontal="center" vertical="center"/>
      <protection locked="0"/>
    </xf>
    <xf numFmtId="38" fontId="162" fillId="0" borderId="0" xfId="50" applyFont="1" applyFill="1" applyBorder="1" applyAlignment="1" applyProtection="1">
      <alignment horizontal="right" vertical="center"/>
      <protection locked="0"/>
    </xf>
    <xf numFmtId="0" fontId="162" fillId="0" borderId="0" xfId="0" applyFont="1" applyFill="1" applyAlignment="1" applyProtection="1">
      <alignment horizontal="left" vertical="center"/>
      <protection locked="0"/>
    </xf>
    <xf numFmtId="0" fontId="162" fillId="0" borderId="0" xfId="0" applyFont="1" applyFill="1" applyAlignment="1" applyProtection="1">
      <alignment horizontal="center" vertical="center"/>
      <protection locked="0"/>
    </xf>
    <xf numFmtId="38" fontId="187" fillId="0" borderId="0" xfId="50" applyFont="1" applyFill="1" applyBorder="1" applyAlignment="1" applyProtection="1">
      <alignment horizontal="left" vertical="center"/>
      <protection locked="0"/>
    </xf>
    <xf numFmtId="0" fontId="0" fillId="5" borderId="52" xfId="0" applyFont="1" applyFill="1" applyBorder="1" applyAlignment="1" applyProtection="1">
      <alignment horizontal="center" vertical="center"/>
      <protection locked="0"/>
    </xf>
    <xf numFmtId="0" fontId="0" fillId="6" borderId="52"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188" fillId="33" borderId="0" xfId="0" applyFont="1" applyFill="1" applyAlignment="1" applyProtection="1">
      <alignment wrapText="1"/>
      <protection locked="0"/>
    </xf>
    <xf numFmtId="0" fontId="135" fillId="0" borderId="0" xfId="0" applyFont="1" applyBorder="1" applyAlignment="1" applyProtection="1">
      <alignment vertical="center"/>
      <protection locked="0"/>
    </xf>
    <xf numFmtId="38" fontId="162" fillId="0" borderId="95" xfId="50" applyFont="1" applyFill="1" applyBorder="1" applyAlignment="1" applyProtection="1">
      <alignment horizontal="left" vertical="center"/>
      <protection/>
    </xf>
    <xf numFmtId="0" fontId="163" fillId="0" borderId="0" xfId="0" applyFont="1" applyAlignment="1" applyProtection="1">
      <alignment vertical="center"/>
      <protection locked="0"/>
    </xf>
    <xf numFmtId="14" fontId="163" fillId="0" borderId="0" xfId="0" applyNumberFormat="1" applyFont="1" applyAlignment="1" applyProtection="1">
      <alignment vertical="center"/>
      <protection locked="0"/>
    </xf>
    <xf numFmtId="0" fontId="163"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63"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7" borderId="0" xfId="0" applyFont="1" applyFill="1" applyAlignment="1" applyProtection="1">
      <alignment vertical="center"/>
      <protection locked="0"/>
    </xf>
    <xf numFmtId="0" fontId="163" fillId="7" borderId="0" xfId="0" applyFont="1" applyFill="1" applyAlignment="1" applyProtection="1">
      <alignment vertical="center"/>
      <protection locked="0"/>
    </xf>
    <xf numFmtId="0" fontId="163" fillId="0" borderId="0" xfId="0" applyFont="1" applyFill="1" applyAlignment="1" applyProtection="1">
      <alignment vertical="center"/>
      <protection locked="0"/>
    </xf>
    <xf numFmtId="0" fontId="189" fillId="0" borderId="0" xfId="0" applyFont="1" applyAlignment="1" applyProtection="1">
      <alignment vertical="center"/>
      <protection locked="0"/>
    </xf>
    <xf numFmtId="0" fontId="6" fillId="0" borderId="0" xfId="0" applyFont="1" applyAlignment="1" applyProtection="1">
      <alignment vertical="center"/>
      <protection locked="0"/>
    </xf>
    <xf numFmtId="0" fontId="163" fillId="0" borderId="0" xfId="0" applyFont="1" applyAlignment="1" applyProtection="1">
      <alignment horizontal="right" vertical="center"/>
      <protection locked="0"/>
    </xf>
    <xf numFmtId="0" fontId="163" fillId="0" borderId="0" xfId="0" applyFont="1" applyAlignment="1">
      <alignment vertical="center"/>
    </xf>
    <xf numFmtId="0" fontId="6" fillId="0" borderId="0" xfId="0" applyFont="1" applyBorder="1" applyAlignment="1" applyProtection="1">
      <alignment horizontal="center" vertical="center"/>
      <protection locked="0"/>
    </xf>
    <xf numFmtId="0" fontId="163" fillId="0" borderId="0"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63" fillId="33" borderId="16" xfId="0" applyFont="1" applyFill="1" applyBorder="1" applyAlignment="1" applyProtection="1">
      <alignment horizontal="center" vertical="center"/>
      <protection locked="0"/>
    </xf>
    <xf numFmtId="0" fontId="163" fillId="33" borderId="52" xfId="0" applyFont="1" applyFill="1" applyBorder="1" applyAlignment="1" applyProtection="1">
      <alignment horizontal="center" vertical="center"/>
      <protection locked="0"/>
    </xf>
    <xf numFmtId="196" fontId="6" fillId="33" borderId="96" xfId="0" applyNumberFormat="1" applyFont="1" applyFill="1" applyBorder="1" applyAlignment="1" applyProtection="1">
      <alignment horizontal="center" vertical="center"/>
      <protection locked="0"/>
    </xf>
    <xf numFmtId="196" fontId="6" fillId="33" borderId="97" xfId="0" applyNumberFormat="1" applyFont="1" applyFill="1" applyBorder="1" applyAlignment="1" applyProtection="1">
      <alignment horizontal="center" vertical="center"/>
      <protection locked="0"/>
    </xf>
    <xf numFmtId="196" fontId="163" fillId="33" borderId="97"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63" fillId="0" borderId="0" xfId="0" applyFont="1" applyBorder="1" applyAlignment="1" applyProtection="1">
      <alignment horizontal="center" vertical="center"/>
      <protection locked="0"/>
    </xf>
    <xf numFmtId="196" fontId="163" fillId="33" borderId="17" xfId="0" applyNumberFormat="1" applyFont="1" applyFill="1" applyBorder="1" applyAlignment="1" applyProtection="1">
      <alignment horizontal="center" vertical="center"/>
      <protection locked="0"/>
    </xf>
    <xf numFmtId="196" fontId="163" fillId="0" borderId="0" xfId="0" applyNumberFormat="1" applyFont="1" applyFill="1" applyBorder="1" applyAlignment="1" applyProtection="1">
      <alignment horizontal="center" vertical="center"/>
      <protection locked="0"/>
    </xf>
    <xf numFmtId="0" fontId="163" fillId="0" borderId="0" xfId="0" applyFont="1" applyFill="1" applyBorder="1" applyAlignment="1" applyProtection="1">
      <alignment horizontal="left" vertical="center" shrinkToFit="1"/>
      <protection locked="0"/>
    </xf>
    <xf numFmtId="0" fontId="163" fillId="33" borderId="0" xfId="0" applyFont="1" applyFill="1" applyBorder="1" applyAlignment="1" applyProtection="1">
      <alignment horizontal="center" vertical="center"/>
      <protection locked="0"/>
    </xf>
    <xf numFmtId="196" fontId="163" fillId="33" borderId="0" xfId="0" applyNumberFormat="1" applyFont="1" applyFill="1" applyBorder="1" applyAlignment="1" applyProtection="1">
      <alignment horizontal="center" vertical="center"/>
      <protection locked="0"/>
    </xf>
    <xf numFmtId="0" fontId="190" fillId="0" borderId="0" xfId="0" applyFont="1" applyAlignment="1" applyProtection="1">
      <alignment horizontal="left" vertical="center"/>
      <protection locked="0"/>
    </xf>
    <xf numFmtId="38" fontId="6" fillId="0" borderId="0" xfId="53" applyFont="1" applyFill="1" applyBorder="1" applyAlignment="1" applyProtection="1">
      <alignment horizontal="left" vertical="top" wrapText="1"/>
      <protection locked="0"/>
    </xf>
    <xf numFmtId="38" fontId="6" fillId="0" borderId="0" xfId="53" applyFont="1" applyFill="1" applyBorder="1" applyAlignment="1" applyProtection="1">
      <alignment vertical="top" wrapText="1"/>
      <protection locked="0"/>
    </xf>
    <xf numFmtId="0" fontId="163" fillId="34" borderId="0" xfId="0" applyFont="1" applyFill="1" applyAlignment="1" applyProtection="1">
      <alignment vertical="center"/>
      <protection locked="0"/>
    </xf>
    <xf numFmtId="0" fontId="121" fillId="34" borderId="0" xfId="44" applyFill="1" applyAlignment="1" applyProtection="1">
      <alignment vertical="center"/>
      <protection locked="0"/>
    </xf>
    <xf numFmtId="0" fontId="32" fillId="0" borderId="0" xfId="0" applyFont="1" applyAlignment="1" applyProtection="1">
      <alignment vertical="center"/>
      <protection locked="0"/>
    </xf>
    <xf numFmtId="196" fontId="6" fillId="7" borderId="0" xfId="0" applyNumberFormat="1" applyFont="1" applyFill="1" applyBorder="1" applyAlignment="1" applyProtection="1">
      <alignment horizontal="left" vertical="center"/>
      <protection locked="0"/>
    </xf>
    <xf numFmtId="196" fontId="6" fillId="33" borderId="0" xfId="0" applyNumberFormat="1" applyFont="1" applyFill="1" applyBorder="1" applyAlignment="1" applyProtection="1">
      <alignment horizontal="center" vertical="center"/>
      <protection locked="0"/>
    </xf>
    <xf numFmtId="0" fontId="153" fillId="7" borderId="54" xfId="0" applyFont="1" applyFill="1" applyBorder="1" applyAlignment="1" applyProtection="1">
      <alignment horizontal="left" vertical="center" wrapText="1"/>
      <protection locked="0"/>
    </xf>
    <xf numFmtId="0" fontId="153" fillId="7" borderId="14" xfId="0" applyFont="1" applyFill="1" applyBorder="1" applyAlignment="1" applyProtection="1">
      <alignment horizontal="left" vertical="center" wrapText="1"/>
      <protection locked="0"/>
    </xf>
    <xf numFmtId="0" fontId="153" fillId="7" borderId="13" xfId="0" applyFont="1" applyFill="1" applyBorder="1" applyAlignment="1" applyProtection="1">
      <alignment horizontal="left" vertical="center" wrapText="1"/>
      <protection locked="0"/>
    </xf>
    <xf numFmtId="0" fontId="153" fillId="7" borderId="13" xfId="0" applyFont="1" applyFill="1" applyBorder="1" applyAlignment="1" applyProtection="1">
      <alignment horizontal="left" vertical="center" wrapText="1" shrinkToFit="1"/>
      <protection locked="0"/>
    </xf>
    <xf numFmtId="176" fontId="8" fillId="7" borderId="13" xfId="0" applyNumberFormat="1" applyFont="1" applyFill="1" applyBorder="1" applyAlignment="1" applyProtection="1">
      <alignment horizontal="left" vertical="center" wrapText="1"/>
      <protection locked="0"/>
    </xf>
    <xf numFmtId="176" fontId="8" fillId="7" borderId="53" xfId="0" applyNumberFormat="1" applyFont="1" applyFill="1" applyBorder="1" applyAlignment="1" applyProtection="1">
      <alignment horizontal="left" vertical="center" wrapText="1"/>
      <protection locked="0"/>
    </xf>
    <xf numFmtId="0" fontId="153" fillId="7" borderId="53" xfId="0" applyFont="1" applyFill="1" applyBorder="1" applyAlignment="1" applyProtection="1">
      <alignment horizontal="left" vertical="center" wrapText="1"/>
      <protection locked="0"/>
    </xf>
    <xf numFmtId="58" fontId="0" fillId="7" borderId="13" xfId="0" applyNumberFormat="1" applyFont="1" applyFill="1" applyBorder="1" applyAlignment="1" applyProtection="1">
      <alignment horizontal="left" vertical="center"/>
      <protection locked="0"/>
    </xf>
    <xf numFmtId="58" fontId="0" fillId="7" borderId="13" xfId="0" applyNumberFormat="1" applyFill="1" applyBorder="1" applyAlignment="1" applyProtection="1">
      <alignment horizontal="left" vertical="center"/>
      <protection locked="0"/>
    </xf>
    <xf numFmtId="0" fontId="7" fillId="7" borderId="1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protection locked="0"/>
    </xf>
    <xf numFmtId="0" fontId="139" fillId="7" borderId="96" xfId="0" applyFont="1" applyFill="1" applyBorder="1" applyAlignment="1" applyProtection="1">
      <alignment vertical="center"/>
      <protection locked="0"/>
    </xf>
    <xf numFmtId="0" fontId="139" fillId="7" borderId="98" xfId="0" applyFont="1" applyFill="1" applyBorder="1" applyAlignment="1" applyProtection="1">
      <alignment vertical="center"/>
      <protection locked="0"/>
    </xf>
    <xf numFmtId="0" fontId="139" fillId="7" borderId="99" xfId="0" applyFont="1" applyFill="1" applyBorder="1" applyAlignment="1" applyProtection="1">
      <alignment vertical="center"/>
      <protection locked="0"/>
    </xf>
    <xf numFmtId="20" fontId="149" fillId="7" borderId="23" xfId="0" applyNumberFormat="1" applyFont="1" applyFill="1" applyBorder="1" applyAlignment="1" applyProtection="1">
      <alignment horizontal="center" vertical="center"/>
      <protection locked="0"/>
    </xf>
    <xf numFmtId="20" fontId="149" fillId="7" borderId="96" xfId="0" applyNumberFormat="1" applyFont="1" applyFill="1" applyBorder="1" applyAlignment="1" applyProtection="1">
      <alignment horizontal="center" vertical="center"/>
      <protection locked="0"/>
    </xf>
    <xf numFmtId="20" fontId="149" fillId="7" borderId="98" xfId="0" applyNumberFormat="1" applyFont="1" applyFill="1" applyBorder="1" applyAlignment="1" applyProtection="1">
      <alignment horizontal="center" vertical="center"/>
      <protection locked="0"/>
    </xf>
    <xf numFmtId="20" fontId="149" fillId="7" borderId="99"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137" fillId="0" borderId="100" xfId="0" applyFont="1" applyBorder="1" applyAlignment="1" applyProtection="1">
      <alignment horizontal="center" vertical="center" wrapText="1"/>
      <protection locked="0"/>
    </xf>
    <xf numFmtId="0" fontId="154" fillId="33" borderId="22" xfId="0" applyFont="1" applyFill="1" applyBorder="1" applyAlignment="1" applyProtection="1">
      <alignment horizontal="center" vertical="center" wrapText="1"/>
      <protection locked="0"/>
    </xf>
    <xf numFmtId="0" fontId="137" fillId="0" borderId="101" xfId="0" applyFont="1" applyBorder="1" applyAlignment="1" applyProtection="1">
      <alignment horizontal="center" vertical="top" wrapText="1"/>
      <protection locked="0"/>
    </xf>
    <xf numFmtId="176" fontId="182" fillId="0" borderId="102"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37"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37" fillId="0" borderId="0" xfId="0" applyFont="1" applyAlignment="1" applyProtection="1">
      <alignment horizontal="justify" vertical="center"/>
      <protection locked="0"/>
    </xf>
    <xf numFmtId="0" fontId="135" fillId="0" borderId="0" xfId="0" applyFont="1" applyBorder="1" applyAlignment="1" applyProtection="1">
      <alignment horizontal="right" vertical="center"/>
      <protection locked="0"/>
    </xf>
    <xf numFmtId="0" fontId="0" fillId="0" borderId="22" xfId="0" applyFont="1" applyBorder="1" applyAlignment="1" applyProtection="1">
      <alignment horizontal="center" vertical="top" wrapText="1"/>
      <protection locked="0"/>
    </xf>
    <xf numFmtId="0" fontId="0" fillId="0" borderId="49" xfId="0" applyFont="1" applyBorder="1" applyAlignment="1" applyProtection="1">
      <alignment horizontal="center" vertical="top" wrapText="1"/>
      <protection locked="0"/>
    </xf>
    <xf numFmtId="0" fontId="137" fillId="0" borderId="100" xfId="0" applyFont="1" applyBorder="1" applyAlignment="1" applyProtection="1">
      <alignment horizontal="left" vertical="center" wrapText="1"/>
      <protection locked="0"/>
    </xf>
    <xf numFmtId="0" fontId="0" fillId="0" borderId="100" xfId="0" applyFont="1" applyBorder="1" applyAlignment="1" applyProtection="1">
      <alignment horizontal="center" vertical="top" wrapText="1"/>
      <protection locked="0"/>
    </xf>
    <xf numFmtId="0" fontId="153" fillId="7" borderId="18" xfId="0" applyFont="1" applyFill="1" applyBorder="1" applyAlignment="1" applyProtection="1">
      <alignment horizontal="left" vertical="center" wrapText="1"/>
      <protection locked="0"/>
    </xf>
    <xf numFmtId="0" fontId="153" fillId="7" borderId="19"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153" fillId="7" borderId="19" xfId="0" applyFont="1" applyFill="1" applyBorder="1" applyAlignment="1" applyProtection="1">
      <alignment horizontal="left" vertical="center" shrinkToFit="1"/>
      <protection locked="0"/>
    </xf>
    <xf numFmtId="0" fontId="153" fillId="7" borderId="46"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37" fillId="0" borderId="10" xfId="50" applyFont="1" applyBorder="1" applyAlignment="1" applyProtection="1">
      <alignment horizontal="center" vertical="top" wrapText="1"/>
      <protection locked="0"/>
    </xf>
    <xf numFmtId="0" fontId="137" fillId="0" borderId="0" xfId="0" applyFont="1" applyBorder="1" applyAlignment="1" applyProtection="1">
      <alignment horizontal="center" vertical="top" wrapText="1"/>
      <protection locked="0"/>
    </xf>
    <xf numFmtId="38" fontId="137" fillId="0" borderId="100" xfId="50" applyFont="1" applyBorder="1" applyAlignment="1" applyProtection="1">
      <alignment horizontal="center" vertical="center" wrapText="1"/>
      <protection locked="0"/>
    </xf>
    <xf numFmtId="0" fontId="137" fillId="0" borderId="0" xfId="0" applyFont="1" applyBorder="1" applyAlignment="1" applyProtection="1">
      <alignment horizontal="center" vertical="center" wrapText="1"/>
      <protection locked="0"/>
    </xf>
    <xf numFmtId="178" fontId="153" fillId="33" borderId="0" xfId="0" applyNumberFormat="1" applyFont="1" applyFill="1" applyBorder="1" applyAlignment="1" applyProtection="1">
      <alignment horizontal="right" vertical="center" wrapText="1"/>
      <protection locked="0"/>
    </xf>
    <xf numFmtId="0" fontId="153" fillId="7" borderId="13" xfId="0" applyFont="1" applyFill="1" applyBorder="1" applyAlignment="1" applyProtection="1">
      <alignment horizontal="left" vertical="center" shrinkToFit="1"/>
      <protection locked="0"/>
    </xf>
    <xf numFmtId="0" fontId="137" fillId="0" borderId="14" xfId="0" applyFont="1" applyBorder="1" applyAlignment="1" applyProtection="1">
      <alignment horizontal="center" vertical="center" wrapText="1"/>
      <protection locked="0"/>
    </xf>
    <xf numFmtId="0" fontId="0" fillId="7" borderId="103" xfId="0" applyFont="1" applyFill="1" applyBorder="1" applyAlignment="1" applyProtection="1">
      <alignment horizontal="center" vertical="center"/>
      <protection locked="0"/>
    </xf>
    <xf numFmtId="0" fontId="137" fillId="0" borderId="13" xfId="0" applyFont="1" applyBorder="1" applyAlignment="1" applyProtection="1">
      <alignment horizontal="center" vertical="center" wrapText="1"/>
      <protection locked="0"/>
    </xf>
    <xf numFmtId="0" fontId="137" fillId="0" borderId="53" xfId="0" applyFont="1" applyBorder="1" applyAlignment="1" applyProtection="1">
      <alignment horizontal="center" vertical="center" wrapText="1"/>
      <protection locked="0"/>
    </xf>
    <xf numFmtId="0" fontId="0" fillId="7" borderId="104" xfId="0" applyFont="1" applyFill="1" applyBorder="1" applyAlignment="1" applyProtection="1">
      <alignment horizontal="center" vertical="center"/>
      <protection locked="0"/>
    </xf>
    <xf numFmtId="0" fontId="137" fillId="0" borderId="0" xfId="0" applyFont="1" applyAlignment="1" applyProtection="1">
      <alignment horizontal="left" vertical="center" shrinkToFit="1"/>
      <protection locked="0"/>
    </xf>
    <xf numFmtId="0" fontId="137" fillId="0" borderId="10" xfId="0" applyFont="1" applyBorder="1" applyAlignment="1" applyProtection="1">
      <alignment horizontal="center" vertical="top" shrinkToFit="1"/>
      <protection locked="0"/>
    </xf>
    <xf numFmtId="0" fontId="137" fillId="0" borderId="100" xfId="0" applyFont="1" applyBorder="1" applyAlignment="1" applyProtection="1">
      <alignment horizontal="left" vertical="center" shrinkToFit="1"/>
      <protection locked="0"/>
    </xf>
    <xf numFmtId="0" fontId="0" fillId="7" borderId="105" xfId="0" applyFont="1" applyFill="1" applyBorder="1" applyAlignment="1" applyProtection="1">
      <alignment horizontal="center" vertical="center"/>
      <protection locked="0"/>
    </xf>
    <xf numFmtId="0" fontId="0" fillId="7" borderId="106" xfId="0" applyFont="1" applyFill="1" applyBorder="1" applyAlignment="1" applyProtection="1">
      <alignment horizontal="center" vertical="center"/>
      <protection locked="0"/>
    </xf>
    <xf numFmtId="0" fontId="137" fillId="33" borderId="13" xfId="0" applyFont="1" applyFill="1" applyBorder="1" applyAlignment="1" applyProtection="1">
      <alignment horizontal="center" vertical="center" wrapText="1"/>
      <protection locked="0"/>
    </xf>
    <xf numFmtId="0" fontId="137" fillId="33" borderId="0" xfId="0" applyFont="1" applyFill="1" applyBorder="1" applyAlignment="1" applyProtection="1">
      <alignment horizontal="center" vertical="center" wrapText="1"/>
      <protection locked="0"/>
    </xf>
    <xf numFmtId="0" fontId="137" fillId="33" borderId="14" xfId="0" applyFont="1" applyFill="1" applyBorder="1" applyAlignment="1" applyProtection="1">
      <alignment horizontal="center" vertical="center" wrapText="1"/>
      <protection locked="0"/>
    </xf>
    <xf numFmtId="0" fontId="153" fillId="7" borderId="19" xfId="0" applyFont="1" applyFill="1" applyBorder="1" applyAlignment="1" applyProtection="1">
      <alignment horizontal="left" vertical="center" wrapText="1" shrinkToFit="1"/>
      <protection locked="0"/>
    </xf>
    <xf numFmtId="0" fontId="137" fillId="0" borderId="18" xfId="0" applyFont="1" applyBorder="1" applyAlignment="1" applyProtection="1" quotePrefix="1">
      <alignment horizontal="center" vertical="center" wrapText="1"/>
      <protection locked="0"/>
    </xf>
    <xf numFmtId="0" fontId="137" fillId="33" borderId="21" xfId="0" applyFont="1" applyFill="1" applyBorder="1" applyAlignment="1" applyProtection="1">
      <alignment horizontal="center" vertical="center" wrapText="1"/>
      <protection locked="0"/>
    </xf>
    <xf numFmtId="0" fontId="137" fillId="33" borderId="18"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137" fillId="0" borderId="49" xfId="0" applyFont="1" applyBorder="1" applyAlignment="1" applyProtection="1" quotePrefix="1">
      <alignment horizontal="center" vertical="center" wrapText="1"/>
      <protection locked="0"/>
    </xf>
    <xf numFmtId="0" fontId="137" fillId="33" borderId="20" xfId="0" applyFont="1" applyFill="1" applyBorder="1" applyAlignment="1" applyProtection="1">
      <alignment horizontal="center" vertical="center" wrapText="1"/>
      <protection locked="0"/>
    </xf>
    <xf numFmtId="38" fontId="13" fillId="0" borderId="58" xfId="50" applyFont="1" applyFill="1" applyBorder="1" applyAlignment="1" applyProtection="1">
      <alignment horizontal="center" vertical="center"/>
      <protection/>
    </xf>
    <xf numFmtId="176" fontId="13" fillId="0" borderId="59" xfId="0" applyNumberFormat="1" applyFont="1" applyFill="1" applyBorder="1" applyAlignment="1" applyProtection="1">
      <alignment horizontal="right" vertical="center"/>
      <protection/>
    </xf>
    <xf numFmtId="0" fontId="174" fillId="33" borderId="107" xfId="0" applyFont="1" applyFill="1" applyBorder="1" applyAlignment="1" applyProtection="1">
      <alignment vertical="center"/>
      <protection/>
    </xf>
    <xf numFmtId="0" fontId="174" fillId="33" borderId="60" xfId="0" applyFont="1" applyFill="1" applyBorder="1" applyAlignment="1" applyProtection="1">
      <alignment vertical="center"/>
      <protection/>
    </xf>
    <xf numFmtId="0" fontId="3" fillId="35" borderId="39" xfId="0" applyFont="1" applyFill="1" applyBorder="1" applyAlignment="1" applyProtection="1">
      <alignment vertical="center" wrapText="1"/>
      <protection locked="0"/>
    </xf>
    <xf numFmtId="0" fontId="3" fillId="35" borderId="46" xfId="0" applyFont="1" applyFill="1" applyBorder="1" applyAlignment="1" applyProtection="1">
      <alignment horizontal="center" vertical="center" wrapText="1"/>
      <protection/>
    </xf>
    <xf numFmtId="213" fontId="3" fillId="35" borderId="53" xfId="50" applyNumberFormat="1" applyFont="1" applyFill="1" applyBorder="1" applyAlignment="1" applyProtection="1">
      <alignment vertical="center" wrapText="1"/>
      <protection locked="0"/>
    </xf>
    <xf numFmtId="213" fontId="3" fillId="35" borderId="41" xfId="50" applyNumberFormat="1" applyFont="1" applyFill="1" applyBorder="1" applyAlignment="1" applyProtection="1">
      <alignment vertical="center" wrapText="1"/>
      <protection/>
    </xf>
    <xf numFmtId="0" fontId="3" fillId="35" borderId="39" xfId="0" applyFont="1" applyFill="1" applyBorder="1" applyAlignment="1" applyProtection="1">
      <alignment horizontal="center" vertical="center" wrapText="1"/>
      <protection/>
    </xf>
    <xf numFmtId="0" fontId="3" fillId="35" borderId="45" xfId="0" applyFont="1" applyFill="1" applyBorder="1" applyAlignment="1" applyProtection="1">
      <alignment vertical="center" wrapText="1"/>
      <protection locked="0"/>
    </xf>
    <xf numFmtId="213" fontId="3" fillId="35" borderId="108" xfId="50" applyNumberFormat="1" applyFont="1" applyFill="1" applyBorder="1" applyAlignment="1" applyProtection="1">
      <alignment vertical="center" wrapText="1"/>
      <protection/>
    </xf>
    <xf numFmtId="0" fontId="3" fillId="35" borderId="108" xfId="0" applyFont="1" applyFill="1" applyBorder="1" applyAlignment="1" applyProtection="1">
      <alignment horizontal="center" vertical="center" wrapText="1"/>
      <protection locked="0"/>
    </xf>
    <xf numFmtId="0" fontId="3" fillId="35" borderId="53" xfId="0" applyFont="1" applyFill="1" applyBorder="1" applyAlignment="1" applyProtection="1">
      <alignment vertical="center" wrapText="1"/>
      <protection locked="0"/>
    </xf>
    <xf numFmtId="0" fontId="3" fillId="35" borderId="41" xfId="0" applyFont="1" applyFill="1" applyBorder="1" applyAlignment="1" applyProtection="1">
      <alignment horizontal="center" vertical="center" wrapText="1"/>
      <protection locked="0"/>
    </xf>
    <xf numFmtId="0" fontId="3" fillId="35" borderId="53" xfId="0" applyFont="1" applyFill="1" applyBorder="1" applyAlignment="1" applyProtection="1">
      <alignment horizontal="center" vertical="center" wrapText="1"/>
      <protection/>
    </xf>
    <xf numFmtId="0" fontId="3" fillId="35" borderId="41" xfId="0" applyFont="1" applyFill="1" applyBorder="1" applyAlignment="1" applyProtection="1">
      <alignment horizontal="center" vertical="center" wrapText="1"/>
      <protection/>
    </xf>
    <xf numFmtId="0" fontId="163" fillId="36" borderId="0" xfId="0" applyFont="1" applyFill="1" applyAlignment="1" applyProtection="1">
      <alignment vertical="center"/>
      <protection locked="0"/>
    </xf>
    <xf numFmtId="0" fontId="121" fillId="36" borderId="0" xfId="44" applyFill="1" applyAlignment="1" applyProtection="1">
      <alignment horizontal="left" vertical="center"/>
      <protection locked="0"/>
    </xf>
    <xf numFmtId="0" fontId="163" fillId="37" borderId="0" xfId="0" applyFont="1" applyFill="1" applyAlignment="1" applyProtection="1">
      <alignment vertical="center"/>
      <protection locked="0"/>
    </xf>
    <xf numFmtId="0" fontId="121" fillId="36" borderId="0" xfId="44" applyFill="1" applyAlignment="1" applyProtection="1">
      <alignment vertical="center"/>
      <protection locked="0"/>
    </xf>
    <xf numFmtId="184" fontId="16" fillId="7" borderId="54"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14" xfId="0" applyNumberFormat="1" applyFont="1" applyFill="1" applyBorder="1" applyAlignment="1" applyProtection="1">
      <alignment horizontal="right" vertical="center" wrapText="1"/>
      <protection locked="0"/>
    </xf>
    <xf numFmtId="184" fontId="16" fillId="7" borderId="100" xfId="0" applyNumberFormat="1" applyFont="1" applyFill="1" applyBorder="1" applyAlignment="1" applyProtection="1">
      <alignment horizontal="right" vertical="center" wrapText="1"/>
      <protection locked="0"/>
    </xf>
    <xf numFmtId="0" fontId="121" fillId="37" borderId="0" xfId="44" applyFill="1" applyAlignment="1" applyProtection="1">
      <alignment vertical="center"/>
      <protection/>
    </xf>
    <xf numFmtId="213" fontId="3" fillId="0" borderId="29" xfId="50" applyNumberFormat="1" applyFont="1" applyFill="1" applyBorder="1" applyAlignment="1" applyProtection="1">
      <alignment horizontal="center" vertical="center" wrapText="1"/>
      <protection/>
    </xf>
    <xf numFmtId="0" fontId="137" fillId="0" borderId="96" xfId="0" applyFont="1" applyBorder="1" applyAlignment="1" applyProtection="1">
      <alignment horizontal="center" vertical="top" wrapText="1"/>
      <protection locked="0"/>
    </xf>
    <xf numFmtId="0" fontId="137" fillId="0" borderId="99" xfId="0" applyFont="1" applyBorder="1" applyAlignment="1" applyProtection="1">
      <alignment horizontal="center" vertical="center" wrapText="1"/>
      <protection locked="0"/>
    </xf>
    <xf numFmtId="176" fontId="8" fillId="0" borderId="76" xfId="0" applyNumberFormat="1" applyFont="1" applyBorder="1" applyAlignment="1" applyProtection="1">
      <alignment horizontal="right" vertical="center" wrapText="1"/>
      <protection/>
    </xf>
    <xf numFmtId="176" fontId="8" fillId="0" borderId="77" xfId="0" applyNumberFormat="1" applyFont="1" applyBorder="1" applyAlignment="1" applyProtection="1">
      <alignment horizontal="right" vertical="center" wrapText="1"/>
      <protection/>
    </xf>
    <xf numFmtId="0" fontId="138"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68" fillId="0" borderId="0" xfId="0" applyFont="1" applyFill="1" applyBorder="1" applyAlignment="1" applyProtection="1">
      <alignment vertical="center"/>
      <protection locked="0"/>
    </xf>
    <xf numFmtId="213" fontId="3" fillId="0" borderId="0" xfId="50" applyNumberFormat="1" applyFont="1" applyFill="1" applyBorder="1" applyAlignment="1" applyProtection="1">
      <alignment vertical="center" wrapText="1"/>
      <protection/>
    </xf>
    <xf numFmtId="0" fontId="16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149" fillId="0" borderId="109" xfId="0" applyFont="1" applyBorder="1" applyAlignment="1" applyProtection="1">
      <alignment vertical="center"/>
      <protection locked="0"/>
    </xf>
    <xf numFmtId="0" fontId="191" fillId="0" borderId="0" xfId="0" applyFont="1" applyBorder="1" applyAlignment="1" applyProtection="1">
      <alignment vertical="center"/>
      <protection locked="0"/>
    </xf>
    <xf numFmtId="0" fontId="149" fillId="0" borderId="0" xfId="0" applyFont="1" applyBorder="1" applyAlignment="1" applyProtection="1">
      <alignment vertical="center"/>
      <protection locked="0"/>
    </xf>
    <xf numFmtId="0" fontId="149" fillId="0" borderId="36" xfId="0" applyFont="1" applyBorder="1" applyAlignment="1" applyProtection="1">
      <alignment vertical="center"/>
      <protection locked="0"/>
    </xf>
    <xf numFmtId="0" fontId="149" fillId="0" borderId="36" xfId="0" applyFont="1" applyBorder="1" applyAlignment="1" applyProtection="1">
      <alignment horizontal="center" vertical="center"/>
      <protection locked="0"/>
    </xf>
    <xf numFmtId="0" fontId="168" fillId="0" borderId="36" xfId="0" applyFont="1" applyBorder="1" applyAlignment="1" applyProtection="1">
      <alignment vertical="center"/>
      <protection locked="0"/>
    </xf>
    <xf numFmtId="0" fontId="178" fillId="0" borderId="0" xfId="0" applyFont="1" applyBorder="1" applyAlignment="1" applyProtection="1">
      <alignment horizontal="center" vertical="center" wrapText="1"/>
      <protection locked="0"/>
    </xf>
    <xf numFmtId="0" fontId="178" fillId="0" borderId="0" xfId="0" applyFont="1" applyBorder="1" applyAlignment="1" applyProtection="1">
      <alignment horizontal="left" vertical="center" wrapText="1"/>
      <protection locked="0"/>
    </xf>
    <xf numFmtId="0" fontId="178" fillId="33" borderId="0" xfId="0" applyFont="1" applyFill="1" applyBorder="1" applyAlignment="1" applyProtection="1">
      <alignment horizontal="left" vertical="center" wrapText="1"/>
      <protection locked="0"/>
    </xf>
    <xf numFmtId="0" fontId="149" fillId="0" borderId="18" xfId="0" applyFont="1" applyBorder="1" applyAlignment="1" applyProtection="1">
      <alignment horizontal="center" vertical="center"/>
      <protection locked="0"/>
    </xf>
    <xf numFmtId="0" fontId="149" fillId="0" borderId="110" xfId="0" applyFont="1" applyBorder="1" applyAlignment="1" applyProtection="1">
      <alignment vertical="center"/>
      <protection locked="0"/>
    </xf>
    <xf numFmtId="0" fontId="191" fillId="0" borderId="111" xfId="0" applyFont="1" applyBorder="1" applyAlignment="1" applyProtection="1">
      <alignment vertical="center"/>
      <protection locked="0"/>
    </xf>
    <xf numFmtId="0" fontId="149" fillId="0" borderId="111" xfId="0" applyFont="1" applyBorder="1" applyAlignment="1" applyProtection="1">
      <alignment vertical="center"/>
      <protection locked="0"/>
    </xf>
    <xf numFmtId="0" fontId="191" fillId="0" borderId="111" xfId="0" applyFont="1" applyBorder="1" applyAlignment="1" applyProtection="1">
      <alignment vertical="center"/>
      <protection locked="0"/>
    </xf>
    <xf numFmtId="0" fontId="149" fillId="0" borderId="111" xfId="0" applyFont="1" applyBorder="1" applyAlignment="1" applyProtection="1">
      <alignment vertical="center"/>
      <protection locked="0"/>
    </xf>
    <xf numFmtId="0" fontId="168" fillId="0" borderId="18" xfId="0" applyFont="1" applyBorder="1" applyAlignment="1" applyProtection="1">
      <alignment vertical="center"/>
      <protection locked="0"/>
    </xf>
    <xf numFmtId="0" fontId="149" fillId="0" borderId="35" xfId="0" applyFont="1" applyBorder="1" applyAlignment="1" applyProtection="1">
      <alignment horizontal="center" vertical="center"/>
      <protection locked="0"/>
    </xf>
    <xf numFmtId="0" fontId="149" fillId="0" borderId="19" xfId="0" applyFont="1" applyBorder="1" applyAlignment="1" applyProtection="1">
      <alignment horizontal="center" vertical="center"/>
      <protection locked="0"/>
    </xf>
    <xf numFmtId="0" fontId="6" fillId="0" borderId="62" xfId="0" applyFont="1" applyFill="1" applyBorder="1" applyAlignment="1" applyProtection="1">
      <alignment vertical="center" wrapText="1"/>
      <protection locked="0"/>
    </xf>
    <xf numFmtId="0" fontId="6" fillId="0" borderId="63"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38" fontId="182" fillId="0" borderId="62" xfId="50" applyFont="1" applyFill="1" applyBorder="1" applyAlignment="1" applyProtection="1">
      <alignment horizontal="right" vertical="center"/>
      <protection locked="0"/>
    </xf>
    <xf numFmtId="38" fontId="182" fillId="0" borderId="63" xfId="50" applyFont="1" applyFill="1" applyBorder="1" applyAlignment="1" applyProtection="1">
      <alignment horizontal="right" vertical="center"/>
      <protection locked="0"/>
    </xf>
    <xf numFmtId="38" fontId="182" fillId="0" borderId="64" xfId="50" applyFont="1" applyFill="1" applyBorder="1" applyAlignment="1" applyProtection="1">
      <alignment horizontal="right" vertical="center"/>
      <protection locked="0"/>
    </xf>
    <xf numFmtId="0" fontId="157" fillId="0" borderId="109" xfId="0" applyFont="1" applyBorder="1" applyAlignment="1" applyProtection="1">
      <alignment horizontal="right"/>
      <protection locked="0"/>
    </xf>
    <xf numFmtId="0" fontId="157" fillId="0" borderId="112" xfId="0" applyFont="1" applyBorder="1" applyAlignment="1" applyProtection="1">
      <alignment vertical="center"/>
      <protection locked="0"/>
    </xf>
    <xf numFmtId="0" fontId="149" fillId="0" borderId="109" xfId="0" applyFont="1" applyBorder="1" applyAlignment="1" applyProtection="1">
      <alignment vertical="center"/>
      <protection locked="0"/>
    </xf>
    <xf numFmtId="0" fontId="157" fillId="0" borderId="102" xfId="0" applyFont="1" applyBorder="1" applyAlignment="1" applyProtection="1">
      <alignment vertical="center"/>
      <protection locked="0"/>
    </xf>
    <xf numFmtId="0" fontId="149" fillId="0" borderId="0" xfId="0" applyFont="1" applyBorder="1" applyAlignment="1" applyProtection="1">
      <alignment horizontal="right" vertical="center"/>
      <protection locked="0"/>
    </xf>
    <xf numFmtId="0" fontId="149" fillId="0" borderId="0" xfId="0" applyFont="1" applyAlignment="1" applyProtection="1">
      <alignment vertical="center"/>
      <protection locked="0"/>
    </xf>
    <xf numFmtId="0" fontId="192" fillId="0" borderId="0" xfId="0" applyFont="1" applyAlignment="1" applyProtection="1">
      <alignment vertical="center"/>
      <protection locked="0"/>
    </xf>
    <xf numFmtId="0" fontId="182" fillId="0" borderId="0" xfId="0" applyFont="1" applyAlignment="1" applyProtection="1">
      <alignment vertical="center"/>
      <protection locked="0"/>
    </xf>
    <xf numFmtId="0" fontId="193" fillId="0" borderId="0" xfId="0" applyFont="1" applyBorder="1" applyAlignment="1" applyProtection="1">
      <alignment horizontal="center" vertical="center"/>
      <protection locked="0"/>
    </xf>
    <xf numFmtId="0" fontId="193" fillId="0" borderId="0" xfId="0" applyFont="1" applyBorder="1" applyAlignment="1" applyProtection="1">
      <alignment vertical="center"/>
      <protection locked="0"/>
    </xf>
    <xf numFmtId="176" fontId="18" fillId="0" borderId="0" xfId="0" applyNumberFormat="1" applyFont="1" applyFill="1" applyBorder="1" applyAlignment="1" applyProtection="1">
      <alignment vertical="center" wrapText="1"/>
      <protection locked="0"/>
    </xf>
    <xf numFmtId="0" fontId="152" fillId="0" borderId="0" xfId="0" applyFont="1" applyBorder="1" applyAlignment="1" applyProtection="1">
      <alignment vertical="center" wrapText="1"/>
      <protection locked="0"/>
    </xf>
    <xf numFmtId="176" fontId="7" fillId="0" borderId="13" xfId="0" applyNumberFormat="1" applyFont="1" applyFill="1" applyBorder="1" applyAlignment="1" applyProtection="1">
      <alignment vertical="center" wrapText="1"/>
      <protection locked="0"/>
    </xf>
    <xf numFmtId="0" fontId="135" fillId="0" borderId="13" xfId="0" applyFont="1" applyBorder="1" applyAlignment="1" applyProtection="1">
      <alignment vertical="center" wrapText="1"/>
      <protection locked="0"/>
    </xf>
    <xf numFmtId="0" fontId="138" fillId="0" borderId="0" xfId="0" applyFont="1" applyFill="1" applyAlignment="1" applyProtection="1">
      <alignment vertical="center"/>
      <protection locked="0"/>
    </xf>
    <xf numFmtId="0" fontId="135" fillId="38" borderId="12"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35" fillId="0" borderId="0" xfId="0" applyFont="1" applyAlignment="1" applyProtection="1">
      <alignment vertical="center"/>
      <protection locked="0"/>
    </xf>
    <xf numFmtId="0" fontId="194" fillId="0" borderId="0" xfId="0" applyFont="1" applyAlignment="1" applyProtection="1">
      <alignment horizontal="left" vertical="center"/>
      <protection locked="0"/>
    </xf>
    <xf numFmtId="0" fontId="157" fillId="0" borderId="0" xfId="0" applyFont="1" applyBorder="1" applyAlignment="1" applyProtection="1">
      <alignment horizontal="left" vertical="center"/>
      <protection locked="0"/>
    </xf>
    <xf numFmtId="0" fontId="168" fillId="39" borderId="0" xfId="0" applyFont="1" applyFill="1" applyAlignment="1" applyProtection="1">
      <alignment vertical="center"/>
      <protection locked="0"/>
    </xf>
    <xf numFmtId="0" fontId="193" fillId="39" borderId="0" xfId="0" applyFont="1" applyFill="1" applyBorder="1" applyAlignment="1" applyProtection="1">
      <alignment vertical="center"/>
      <protection locked="0"/>
    </xf>
    <xf numFmtId="0" fontId="175" fillId="0" borderId="109" xfId="0" applyFont="1" applyFill="1" applyBorder="1" applyAlignment="1" applyProtection="1">
      <alignment horizontal="center" vertical="center" wrapText="1" shrinkToFit="1"/>
      <protection/>
    </xf>
    <xf numFmtId="0" fontId="0" fillId="0" borderId="13" xfId="0" applyFont="1" applyBorder="1" applyAlignment="1" applyProtection="1">
      <alignment horizontal="center" vertical="center" shrinkToFit="1"/>
      <protection locked="0"/>
    </xf>
    <xf numFmtId="0" fontId="0" fillId="0" borderId="0" xfId="0" applyFill="1" applyAlignment="1" applyProtection="1">
      <alignment vertical="center"/>
      <protection locked="0"/>
    </xf>
    <xf numFmtId="176" fontId="160" fillId="0" borderId="113" xfId="0" applyNumberFormat="1" applyFont="1" applyFill="1" applyBorder="1" applyAlignment="1" applyProtection="1">
      <alignment horizontal="right" vertical="center" wrapText="1"/>
      <protection/>
    </xf>
    <xf numFmtId="0" fontId="160" fillId="0" borderId="0" xfId="0" applyFont="1" applyFill="1" applyBorder="1" applyAlignment="1" applyProtection="1">
      <alignment vertical="center" wrapText="1"/>
      <protection locked="0"/>
    </xf>
    <xf numFmtId="0" fontId="147" fillId="0" borderId="0" xfId="0" applyFont="1" applyFill="1" applyBorder="1" applyAlignment="1" applyProtection="1">
      <alignment vertical="center" wrapText="1"/>
      <protection locked="0"/>
    </xf>
    <xf numFmtId="0" fontId="136" fillId="0" borderId="0" xfId="0" applyFont="1" applyFill="1" applyAlignment="1" applyProtection="1">
      <alignment vertical="center"/>
      <protection locked="0"/>
    </xf>
    <xf numFmtId="0" fontId="139" fillId="0" borderId="0" xfId="0" applyFont="1" applyFill="1" applyAlignment="1" applyProtection="1">
      <alignment horizontal="right" vertical="center"/>
      <protection locked="0"/>
    </xf>
    <xf numFmtId="176" fontId="160" fillId="0" borderId="47" xfId="0" applyNumberFormat="1" applyFont="1" applyFill="1" applyBorder="1" applyAlignment="1" applyProtection="1">
      <alignment horizontal="right" vertical="center" wrapText="1"/>
      <protection/>
    </xf>
    <xf numFmtId="0" fontId="139" fillId="0" borderId="0" xfId="0" applyFont="1" applyFill="1" applyAlignment="1" applyProtection="1">
      <alignment vertical="center"/>
      <protection locked="0"/>
    </xf>
    <xf numFmtId="176" fontId="160" fillId="0" borderId="26" xfId="0" applyNumberFormat="1" applyFont="1" applyFill="1" applyBorder="1" applyAlignment="1" applyProtection="1">
      <alignment horizontal="right" vertical="center" wrapText="1"/>
      <protection/>
    </xf>
    <xf numFmtId="0" fontId="153" fillId="0" borderId="0" xfId="0" applyFont="1" applyFill="1" applyBorder="1" applyAlignment="1" applyProtection="1">
      <alignment vertical="center" wrapText="1"/>
      <protection locked="0"/>
    </xf>
    <xf numFmtId="176" fontId="160" fillId="0" borderId="23"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vertical="center" wrapText="1"/>
      <protection locked="0"/>
    </xf>
    <xf numFmtId="0" fontId="3" fillId="0" borderId="56"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locked="0"/>
    </xf>
    <xf numFmtId="0" fontId="0" fillId="0" borderId="0" xfId="0" applyFill="1" applyAlignment="1">
      <alignment vertical="center"/>
    </xf>
    <xf numFmtId="0" fontId="3" fillId="0" borderId="0" xfId="0" applyFont="1" applyFill="1" applyAlignment="1" applyProtection="1">
      <alignment vertical="center"/>
      <protection locked="0"/>
    </xf>
    <xf numFmtId="0" fontId="3" fillId="0" borderId="44"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157" fillId="0" borderId="0" xfId="0" applyFont="1" applyFill="1" applyAlignment="1" applyProtection="1">
      <alignment vertical="center"/>
      <protection locked="0"/>
    </xf>
    <xf numFmtId="0" fontId="174" fillId="0" borderId="0" xfId="0" applyFont="1" applyFill="1" applyAlignment="1" applyProtection="1">
      <alignment vertical="center"/>
      <protection locked="0"/>
    </xf>
    <xf numFmtId="0" fontId="172" fillId="0" borderId="0" xfId="0" applyFont="1" applyFill="1" applyAlignment="1" applyProtection="1">
      <alignment vertical="center"/>
      <protection locked="0"/>
    </xf>
    <xf numFmtId="0" fontId="152" fillId="0" borderId="1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top" wrapText="1"/>
      <protection locked="0"/>
    </xf>
    <xf numFmtId="0" fontId="6" fillId="0" borderId="1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38" fontId="13" fillId="0" borderId="115" xfId="50" applyFont="1" applyFill="1" applyBorder="1" applyAlignment="1" applyProtection="1">
      <alignment horizontal="center" vertical="center"/>
      <protection/>
    </xf>
    <xf numFmtId="38" fontId="13" fillId="0" borderId="13" xfId="50" applyFont="1" applyFill="1" applyBorder="1" applyAlignment="1" applyProtection="1">
      <alignment vertical="center"/>
      <protection/>
    </xf>
    <xf numFmtId="0" fontId="174" fillId="0" borderId="0" xfId="0" applyFont="1" applyFill="1" applyAlignment="1" applyProtection="1">
      <alignment horizontal="center" vertical="center"/>
      <protection/>
    </xf>
    <xf numFmtId="0" fontId="22" fillId="0" borderId="0" xfId="0" applyFont="1" applyFill="1" applyAlignment="1" applyProtection="1">
      <alignment vertical="center"/>
      <protection locked="0"/>
    </xf>
    <xf numFmtId="0" fontId="135" fillId="0" borderId="0" xfId="0" applyFont="1" applyFill="1" applyAlignment="1" applyProtection="1">
      <alignment vertical="center"/>
      <protection locked="0"/>
    </xf>
    <xf numFmtId="0" fontId="152" fillId="0" borderId="0" xfId="0" applyFont="1" applyFill="1" applyAlignment="1" applyProtection="1">
      <alignment vertical="center"/>
      <protection locked="0"/>
    </xf>
    <xf numFmtId="0" fontId="137" fillId="0" borderId="31" xfId="0" applyFont="1" applyBorder="1" applyAlignment="1" applyProtection="1">
      <alignment horizontal="center" vertical="center" wrapText="1"/>
      <protection locked="0"/>
    </xf>
    <xf numFmtId="0" fontId="137" fillId="0" borderId="44" xfId="0" applyFont="1" applyBorder="1" applyAlignment="1" applyProtection="1" quotePrefix="1">
      <alignment horizontal="center" vertical="center" wrapText="1"/>
      <protection locked="0"/>
    </xf>
    <xf numFmtId="0" fontId="0" fillId="7" borderId="33" xfId="0" applyFont="1" applyFill="1" applyBorder="1" applyAlignment="1" applyProtection="1">
      <alignment horizontal="center" vertical="center"/>
      <protection locked="0"/>
    </xf>
    <xf numFmtId="0" fontId="137" fillId="0" borderId="19" xfId="0" applyFont="1" applyBorder="1" applyAlignment="1" applyProtection="1" quotePrefix="1">
      <alignment horizontal="center" vertical="center" wrapText="1"/>
      <protection locked="0"/>
    </xf>
    <xf numFmtId="0" fontId="0" fillId="7" borderId="29" xfId="0" applyFont="1" applyFill="1" applyBorder="1" applyAlignment="1" applyProtection="1">
      <alignment horizontal="center" vertical="center"/>
      <protection locked="0"/>
    </xf>
    <xf numFmtId="0" fontId="137" fillId="33" borderId="19" xfId="0" applyFont="1" applyFill="1" applyBorder="1" applyAlignment="1" applyProtection="1" quotePrefix="1">
      <alignment horizontal="center" vertical="center" wrapText="1"/>
      <protection locked="0"/>
    </xf>
    <xf numFmtId="0" fontId="148" fillId="33" borderId="0" xfId="0" applyFont="1" applyFill="1" applyAlignment="1" applyProtection="1">
      <alignment vertical="center"/>
      <protection locked="0"/>
    </xf>
    <xf numFmtId="0" fontId="12" fillId="37" borderId="0" xfId="0" applyFont="1" applyFill="1" applyBorder="1" applyAlignment="1" applyProtection="1">
      <alignment vertical="center"/>
      <protection locked="0"/>
    </xf>
    <xf numFmtId="0" fontId="161" fillId="7" borderId="55" xfId="0" applyFont="1" applyFill="1" applyBorder="1" applyAlignment="1" applyProtection="1">
      <alignment horizontal="right" vertical="center" wrapText="1"/>
      <protection locked="0"/>
    </xf>
    <xf numFmtId="0" fontId="161" fillId="7" borderId="56" xfId="0" applyFont="1" applyFill="1" applyBorder="1" applyAlignment="1" applyProtection="1">
      <alignment horizontal="right" vertical="center" wrapText="1"/>
      <protection locked="0"/>
    </xf>
    <xf numFmtId="0" fontId="161" fillId="7" borderId="108" xfId="0" applyFont="1" applyFill="1" applyBorder="1" applyAlignment="1" applyProtection="1">
      <alignment horizontal="right" vertical="center" wrapText="1"/>
      <protection locked="0"/>
    </xf>
    <xf numFmtId="0" fontId="161" fillId="7" borderId="38" xfId="0" applyFont="1" applyFill="1" applyBorder="1" applyAlignment="1" applyProtection="1">
      <alignment horizontal="right" vertical="center" wrapText="1"/>
      <protection locked="0"/>
    </xf>
    <xf numFmtId="0" fontId="161" fillId="7" borderId="35" xfId="0" applyFont="1" applyFill="1" applyBorder="1" applyAlignment="1" applyProtection="1">
      <alignment horizontal="right" vertical="center" wrapText="1"/>
      <protection locked="0"/>
    </xf>
    <xf numFmtId="0" fontId="161" fillId="7" borderId="36" xfId="0" applyFont="1" applyFill="1" applyBorder="1" applyAlignment="1" applyProtection="1">
      <alignment horizontal="right" vertical="center" wrapText="1"/>
      <protection locked="0"/>
    </xf>
    <xf numFmtId="0" fontId="161" fillId="7" borderId="37" xfId="0" applyFont="1" applyFill="1" applyBorder="1" applyAlignment="1" applyProtection="1">
      <alignment horizontal="right" vertical="center" wrapText="1"/>
      <protection locked="0"/>
    </xf>
    <xf numFmtId="0" fontId="161" fillId="7" borderId="116" xfId="0" applyFont="1" applyFill="1" applyBorder="1" applyAlignment="1" applyProtection="1">
      <alignment horizontal="right" vertical="center" wrapText="1"/>
      <protection locked="0"/>
    </xf>
    <xf numFmtId="176" fontId="16" fillId="40" borderId="117" xfId="0" applyNumberFormat="1" applyFont="1" applyFill="1" applyBorder="1" applyAlignment="1" applyProtection="1">
      <alignment horizontal="right" vertical="center" wrapText="1"/>
      <protection locked="0"/>
    </xf>
    <xf numFmtId="176" fontId="16" fillId="40" borderId="118" xfId="0" applyNumberFormat="1" applyFont="1" applyFill="1" applyBorder="1" applyAlignment="1" applyProtection="1">
      <alignment horizontal="right" vertical="center" wrapText="1"/>
      <protection locked="0"/>
    </xf>
    <xf numFmtId="176" fontId="16" fillId="40" borderId="119" xfId="0" applyNumberFormat="1" applyFont="1" applyFill="1" applyBorder="1" applyAlignment="1" applyProtection="1">
      <alignment horizontal="right" vertical="center" wrapText="1"/>
      <protection locked="0"/>
    </xf>
    <xf numFmtId="176" fontId="16" fillId="40" borderId="120" xfId="0" applyNumberFormat="1" applyFont="1" applyFill="1" applyBorder="1" applyAlignment="1" applyProtection="1">
      <alignment horizontal="right" vertical="center" wrapText="1"/>
      <protection locked="0"/>
    </xf>
    <xf numFmtId="176" fontId="16" fillId="40" borderId="121" xfId="0" applyNumberFormat="1" applyFont="1" applyFill="1" applyBorder="1" applyAlignment="1" applyProtection="1">
      <alignment horizontal="right" vertical="center" wrapText="1"/>
      <protection locked="0"/>
    </xf>
    <xf numFmtId="176" fontId="16" fillId="40" borderId="122" xfId="0" applyNumberFormat="1" applyFont="1" applyFill="1" applyBorder="1" applyAlignment="1" applyProtection="1">
      <alignment horizontal="right" vertical="center" wrapText="1"/>
      <protection locked="0"/>
    </xf>
    <xf numFmtId="176" fontId="16" fillId="40" borderId="38" xfId="0" applyNumberFormat="1" applyFont="1" applyFill="1" applyBorder="1" applyAlignment="1" applyProtection="1">
      <alignment horizontal="right" vertical="center" wrapText="1"/>
      <protection locked="0"/>
    </xf>
    <xf numFmtId="176" fontId="16" fillId="40" borderId="35" xfId="0" applyNumberFormat="1" applyFont="1" applyFill="1" applyBorder="1" applyAlignment="1" applyProtection="1">
      <alignment horizontal="right" vertical="center" wrapText="1"/>
      <protection locked="0"/>
    </xf>
    <xf numFmtId="176" fontId="16" fillId="40" borderId="37" xfId="0" applyNumberFormat="1" applyFont="1" applyFill="1" applyBorder="1" applyAlignment="1" applyProtection="1">
      <alignment horizontal="right" vertical="center" wrapText="1"/>
      <protection locked="0"/>
    </xf>
    <xf numFmtId="49" fontId="161" fillId="0" borderId="0" xfId="0" applyNumberFormat="1" applyFont="1" applyFill="1" applyAlignment="1" applyProtection="1">
      <alignment horizontal="right" vertical="center"/>
      <protection locked="0"/>
    </xf>
    <xf numFmtId="0" fontId="168" fillId="0" borderId="110" xfId="0" applyFont="1" applyBorder="1" applyAlignment="1" applyProtection="1">
      <alignment vertical="center"/>
      <protection locked="0"/>
    </xf>
    <xf numFmtId="0" fontId="157" fillId="0" borderId="102" xfId="0" applyFont="1" applyBorder="1" applyAlignment="1" applyProtection="1">
      <alignment vertical="center"/>
      <protection/>
    </xf>
    <xf numFmtId="0" fontId="157" fillId="0" borderId="36" xfId="0" applyFont="1" applyBorder="1" applyAlignment="1" applyProtection="1">
      <alignment horizontal="center" vertical="center"/>
      <protection locked="0"/>
    </xf>
    <xf numFmtId="213" fontId="38" fillId="0" borderId="109" xfId="50" applyNumberFormat="1" applyFont="1" applyFill="1" applyBorder="1" applyAlignment="1" applyProtection="1">
      <alignment horizontal="right" vertical="center" wrapText="1"/>
      <protection locked="0"/>
    </xf>
    <xf numFmtId="213" fontId="38" fillId="33" borderId="109" xfId="50" applyNumberFormat="1" applyFont="1" applyFill="1" applyBorder="1" applyAlignment="1" applyProtection="1">
      <alignment horizontal="right" vertical="center"/>
      <protection locked="0"/>
    </xf>
    <xf numFmtId="213" fontId="38" fillId="33" borderId="109" xfId="50" applyNumberFormat="1" applyFont="1" applyFill="1" applyBorder="1" applyAlignment="1" applyProtection="1">
      <alignment horizontal="center" vertical="center"/>
      <protection locked="0"/>
    </xf>
    <xf numFmtId="213" fontId="38" fillId="0" borderId="18" xfId="50" applyNumberFormat="1" applyFont="1" applyFill="1" applyBorder="1" applyAlignment="1" applyProtection="1">
      <alignment vertical="center" wrapText="1"/>
      <protection/>
    </xf>
    <xf numFmtId="0" fontId="157" fillId="0" borderId="36" xfId="0" applyFont="1" applyBorder="1" applyAlignment="1" applyProtection="1">
      <alignment vertical="center"/>
      <protection locked="0"/>
    </xf>
    <xf numFmtId="0" fontId="148" fillId="0" borderId="0" xfId="0" applyFont="1" applyFill="1" applyAlignment="1" applyProtection="1">
      <alignment/>
      <protection locked="0"/>
    </xf>
    <xf numFmtId="0" fontId="170"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38" fontId="149" fillId="0" borderId="44" xfId="50" applyFont="1" applyFill="1" applyBorder="1" applyAlignment="1" applyProtection="1">
      <alignment horizontal="right" vertical="center"/>
      <protection/>
    </xf>
    <xf numFmtId="38" fontId="149" fillId="0" borderId="18" xfId="50" applyFont="1" applyFill="1" applyBorder="1" applyAlignment="1" applyProtection="1">
      <alignment horizontal="right" vertical="center"/>
      <protection/>
    </xf>
    <xf numFmtId="38" fontId="149" fillId="0" borderId="13" xfId="50" applyFont="1" applyFill="1" applyBorder="1" applyAlignment="1" applyProtection="1">
      <alignment horizontal="right" vertical="center"/>
      <protection/>
    </xf>
    <xf numFmtId="0" fontId="164" fillId="0" borderId="0" xfId="0" applyFont="1" applyAlignment="1" applyProtection="1">
      <alignment vertical="center"/>
      <protection locked="0"/>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4" xfId="0" applyBorder="1" applyAlignment="1">
      <alignment vertical="center"/>
    </xf>
    <xf numFmtId="0" fontId="0" fillId="0" borderId="13" xfId="0" applyBorder="1" applyAlignment="1">
      <alignment horizontal="center" vertical="center"/>
    </xf>
    <xf numFmtId="0" fontId="121" fillId="0" borderId="13" xfId="44" applyBorder="1" applyAlignment="1" applyProtection="1">
      <alignment vertical="center"/>
      <protection/>
    </xf>
    <xf numFmtId="176" fontId="153" fillId="0" borderId="100" xfId="0" applyNumberFormat="1" applyFont="1" applyBorder="1" applyAlignment="1" applyProtection="1">
      <alignment vertical="center" shrinkToFit="1"/>
      <protection/>
    </xf>
    <xf numFmtId="178" fontId="153" fillId="33" borderId="106" xfId="0" applyNumberFormat="1" applyFont="1" applyFill="1" applyBorder="1" applyAlignment="1" applyProtection="1">
      <alignment vertical="center" shrinkToFit="1"/>
      <protection/>
    </xf>
    <xf numFmtId="176" fontId="153" fillId="0" borderId="54" xfId="0" applyNumberFormat="1" applyFont="1" applyBorder="1" applyAlignment="1" applyProtection="1">
      <alignment vertical="center" shrinkToFit="1"/>
      <protection/>
    </xf>
    <xf numFmtId="176" fontId="153" fillId="7" borderId="54" xfId="0" applyNumberFormat="1" applyFont="1" applyFill="1" applyBorder="1" applyAlignment="1" applyProtection="1">
      <alignment vertical="center" shrinkToFit="1"/>
      <protection locked="0"/>
    </xf>
    <xf numFmtId="176" fontId="153" fillId="0" borderId="14" xfId="0" applyNumberFormat="1" applyFont="1" applyBorder="1" applyAlignment="1" applyProtection="1">
      <alignment vertical="center" shrinkToFit="1"/>
      <protection/>
    </xf>
    <xf numFmtId="176" fontId="153" fillId="7" borderId="13" xfId="0" applyNumberFormat="1" applyFont="1" applyFill="1" applyBorder="1" applyAlignment="1" applyProtection="1">
      <alignment vertical="center" shrinkToFit="1"/>
      <protection locked="0"/>
    </xf>
    <xf numFmtId="176" fontId="153" fillId="7" borderId="53" xfId="0" applyNumberFormat="1" applyFont="1" applyFill="1" applyBorder="1" applyAlignment="1" applyProtection="1">
      <alignment vertical="center" shrinkToFit="1"/>
      <protection locked="0"/>
    </xf>
    <xf numFmtId="178" fontId="153" fillId="33" borderId="100" xfId="0" applyNumberFormat="1" applyFont="1" applyFill="1" applyBorder="1" applyAlignment="1" applyProtection="1">
      <alignment vertical="center" shrinkToFit="1"/>
      <protection/>
    </xf>
    <xf numFmtId="176" fontId="8" fillId="0" borderId="14" xfId="0" applyNumberFormat="1" applyFont="1" applyBorder="1" applyAlignment="1" applyProtection="1">
      <alignment vertical="center" shrinkToFit="1"/>
      <protection/>
    </xf>
    <xf numFmtId="176" fontId="8" fillId="0" borderId="13" xfId="0" applyNumberFormat="1" applyFont="1" applyBorder="1" applyAlignment="1" applyProtection="1">
      <alignment vertical="center" shrinkToFit="1"/>
      <protection/>
    </xf>
    <xf numFmtId="176" fontId="8" fillId="7" borderId="14" xfId="0" applyNumberFormat="1" applyFont="1" applyFill="1" applyBorder="1" applyAlignment="1" applyProtection="1">
      <alignment vertical="center" shrinkToFit="1"/>
      <protection locked="0"/>
    </xf>
    <xf numFmtId="176" fontId="8" fillId="0" borderId="100" xfId="0" applyNumberFormat="1" applyFont="1" applyBorder="1" applyAlignment="1" applyProtection="1">
      <alignment vertical="center" shrinkToFit="1"/>
      <protection/>
    </xf>
    <xf numFmtId="176" fontId="8" fillId="7" borderId="100" xfId="0" applyNumberFormat="1" applyFont="1" applyFill="1" applyBorder="1" applyAlignment="1" applyProtection="1">
      <alignment vertical="center" shrinkToFit="1"/>
      <protection locked="0"/>
    </xf>
    <xf numFmtId="176" fontId="8" fillId="0" borderId="53" xfId="0" applyNumberFormat="1" applyFont="1" applyBorder="1" applyAlignment="1" applyProtection="1">
      <alignment vertical="center" shrinkToFit="1"/>
      <protection/>
    </xf>
    <xf numFmtId="176" fontId="153" fillId="0" borderId="125" xfId="0" applyNumberFormat="1" applyFont="1" applyBorder="1" applyAlignment="1" applyProtection="1">
      <alignment vertical="center" shrinkToFit="1"/>
      <protection/>
    </xf>
    <xf numFmtId="176" fontId="153" fillId="0" borderId="106" xfId="0" applyNumberFormat="1" applyFont="1" applyBorder="1" applyAlignment="1" applyProtection="1">
      <alignment vertical="center" shrinkToFit="1"/>
      <protection/>
    </xf>
    <xf numFmtId="176" fontId="8" fillId="0" borderId="54" xfId="0" applyNumberFormat="1" applyFont="1" applyBorder="1" applyAlignment="1" applyProtection="1">
      <alignment vertical="center" shrinkToFit="1"/>
      <protection/>
    </xf>
    <xf numFmtId="176" fontId="8" fillId="7" borderId="54" xfId="0" applyNumberFormat="1" applyFont="1" applyFill="1" applyBorder="1" applyAlignment="1" applyProtection="1">
      <alignment vertical="center" shrinkToFit="1"/>
      <protection locked="0"/>
    </xf>
    <xf numFmtId="176" fontId="8" fillId="0" borderId="15" xfId="0" applyNumberFormat="1" applyFont="1" applyBorder="1" applyAlignment="1" applyProtection="1">
      <alignment vertical="center" shrinkToFit="1"/>
      <protection/>
    </xf>
    <xf numFmtId="176" fontId="8" fillId="0" borderId="45" xfId="0" applyNumberFormat="1" applyFont="1" applyBorder="1" applyAlignment="1" applyProtection="1">
      <alignment vertical="center" shrinkToFit="1"/>
      <protection/>
    </xf>
    <xf numFmtId="178" fontId="153" fillId="33" borderId="125" xfId="0" applyNumberFormat="1" applyFont="1" applyFill="1" applyBorder="1" applyAlignment="1" applyProtection="1">
      <alignment vertical="center" shrinkToFit="1"/>
      <protection/>
    </xf>
    <xf numFmtId="178" fontId="153" fillId="33" borderId="104" xfId="0" applyNumberFormat="1" applyFont="1" applyFill="1" applyBorder="1" applyAlignment="1" applyProtection="1">
      <alignment vertical="center" shrinkToFit="1"/>
      <protection/>
    </xf>
    <xf numFmtId="178" fontId="153" fillId="33" borderId="22" xfId="0" applyNumberFormat="1" applyFont="1" applyFill="1" applyBorder="1" applyAlignment="1" applyProtection="1">
      <alignment vertical="center" shrinkToFit="1"/>
      <protection/>
    </xf>
    <xf numFmtId="178" fontId="153" fillId="33" borderId="126" xfId="0" applyNumberFormat="1" applyFont="1" applyFill="1" applyBorder="1" applyAlignment="1" applyProtection="1">
      <alignment vertical="center" shrinkToFit="1"/>
      <protection/>
    </xf>
    <xf numFmtId="176" fontId="8" fillId="7" borderId="13" xfId="0" applyNumberFormat="1" applyFont="1" applyFill="1" applyBorder="1" applyAlignment="1" applyProtection="1">
      <alignment vertical="center" shrinkToFit="1"/>
      <protection locked="0"/>
    </xf>
    <xf numFmtId="176" fontId="8" fillId="7" borderId="53" xfId="0" applyNumberFormat="1" applyFont="1" applyFill="1" applyBorder="1" applyAlignment="1" applyProtection="1">
      <alignment vertical="center" shrinkToFit="1"/>
      <protection locked="0"/>
    </xf>
    <xf numFmtId="177" fontId="8" fillId="7" borderId="14" xfId="0" applyNumberFormat="1" applyFont="1" applyFill="1" applyBorder="1" applyAlignment="1" applyProtection="1">
      <alignment horizontal="center" vertical="center" shrinkToFit="1"/>
      <protection locked="0"/>
    </xf>
    <xf numFmtId="177" fontId="8" fillId="7" borderId="53" xfId="0" applyNumberFormat="1" applyFont="1" applyFill="1" applyBorder="1" applyAlignment="1" applyProtection="1">
      <alignment horizontal="center" vertical="center" shrinkToFit="1"/>
      <protection locked="0"/>
    </xf>
    <xf numFmtId="177" fontId="8" fillId="7" borderId="100" xfId="0" applyNumberFormat="1" applyFont="1" applyFill="1" applyBorder="1" applyAlignment="1" applyProtection="1">
      <alignment horizontal="center" vertical="center" shrinkToFit="1"/>
      <protection locked="0"/>
    </xf>
    <xf numFmtId="177" fontId="153" fillId="7" borderId="54" xfId="0" applyNumberFormat="1" applyFont="1" applyFill="1" applyBorder="1" applyAlignment="1" applyProtection="1">
      <alignment horizontal="center" vertical="center" shrinkToFit="1"/>
      <protection locked="0"/>
    </xf>
    <xf numFmtId="177" fontId="153" fillId="7" borderId="14" xfId="0" applyNumberFormat="1" applyFont="1" applyFill="1" applyBorder="1" applyAlignment="1" applyProtection="1">
      <alignment horizontal="center" vertical="center" shrinkToFit="1"/>
      <protection locked="0"/>
    </xf>
    <xf numFmtId="177" fontId="153" fillId="7" borderId="100" xfId="0" applyNumberFormat="1" applyFont="1" applyFill="1" applyBorder="1" applyAlignment="1" applyProtection="1">
      <alignment horizontal="center" vertical="center" shrinkToFit="1"/>
      <protection locked="0"/>
    </xf>
    <xf numFmtId="177" fontId="8" fillId="7" borderId="54" xfId="0" applyNumberFormat="1" applyFont="1" applyFill="1" applyBorder="1" applyAlignment="1" applyProtection="1">
      <alignment horizontal="center" vertical="center" shrinkToFit="1"/>
      <protection locked="0"/>
    </xf>
    <xf numFmtId="177" fontId="8" fillId="7" borderId="13" xfId="0" applyNumberFormat="1" applyFont="1" applyFill="1" applyBorder="1" applyAlignment="1" applyProtection="1">
      <alignment horizontal="center" vertical="center" shrinkToFit="1"/>
      <protection locked="0"/>
    </xf>
    <xf numFmtId="176" fontId="8" fillId="7" borderId="13" xfId="0" applyNumberFormat="1" applyFont="1" applyFill="1" applyBorder="1" applyAlignment="1" applyProtection="1">
      <alignment horizontal="center" vertical="center" shrinkToFit="1"/>
      <protection locked="0"/>
    </xf>
    <xf numFmtId="176" fontId="8" fillId="7" borderId="53" xfId="0" applyNumberFormat="1" applyFont="1" applyFill="1" applyBorder="1" applyAlignment="1" applyProtection="1">
      <alignment horizontal="center" vertical="center" shrinkToFit="1"/>
      <protection locked="0"/>
    </xf>
    <xf numFmtId="195" fontId="8" fillId="7" borderId="14" xfId="0" applyNumberFormat="1" applyFont="1" applyFill="1" applyBorder="1" applyAlignment="1" applyProtection="1">
      <alignment vertical="center" shrinkToFit="1"/>
      <protection locked="0"/>
    </xf>
    <xf numFmtId="195" fontId="8" fillId="7" borderId="13" xfId="0" applyNumberFormat="1" applyFont="1" applyFill="1" applyBorder="1" applyAlignment="1" applyProtection="1">
      <alignment vertical="center" shrinkToFit="1"/>
      <protection locked="0"/>
    </xf>
    <xf numFmtId="195" fontId="8" fillId="7" borderId="53" xfId="0" applyNumberFormat="1" applyFont="1" applyFill="1" applyBorder="1" applyAlignment="1" applyProtection="1">
      <alignment vertical="center" shrinkToFit="1"/>
      <protection locked="0"/>
    </xf>
    <xf numFmtId="195" fontId="8" fillId="7" borderId="100" xfId="0" applyNumberFormat="1" applyFont="1" applyFill="1" applyBorder="1" applyAlignment="1" applyProtection="1">
      <alignment vertical="center" shrinkToFit="1"/>
      <protection locked="0"/>
    </xf>
    <xf numFmtId="195" fontId="8" fillId="7" borderId="54" xfId="0" applyNumberFormat="1" applyFont="1" applyFill="1" applyBorder="1" applyAlignment="1" applyProtection="1">
      <alignment vertical="center" shrinkToFit="1"/>
      <protection locked="0"/>
    </xf>
    <xf numFmtId="184" fontId="8" fillId="7" borderId="13" xfId="0" applyNumberFormat="1" applyFont="1" applyFill="1" applyBorder="1" applyAlignment="1" applyProtection="1">
      <alignment vertical="center" shrinkToFit="1"/>
      <protection locked="0"/>
    </xf>
    <xf numFmtId="184" fontId="8" fillId="7" borderId="53" xfId="0" applyNumberFormat="1" applyFont="1" applyFill="1" applyBorder="1" applyAlignment="1" applyProtection="1">
      <alignment vertical="center" shrinkToFit="1"/>
      <protection locked="0"/>
    </xf>
    <xf numFmtId="0" fontId="14" fillId="0" borderId="15" xfId="0" applyFont="1" applyBorder="1" applyAlignment="1" applyProtection="1">
      <alignment vertical="center"/>
      <protection locked="0"/>
    </xf>
    <xf numFmtId="0" fontId="0" fillId="33" borderId="0" xfId="0" applyFill="1" applyBorder="1" applyAlignment="1" applyProtection="1">
      <alignment horizontal="center" vertical="center"/>
      <protection locked="0"/>
    </xf>
    <xf numFmtId="0" fontId="188" fillId="33" borderId="0" xfId="0" applyFont="1" applyFill="1" applyAlignment="1" applyProtection="1">
      <alignment horizontal="left" wrapText="1"/>
      <protection locked="0"/>
    </xf>
    <xf numFmtId="176" fontId="16" fillId="0" borderId="127" xfId="0" applyNumberFormat="1" applyFont="1" applyFill="1" applyBorder="1" applyAlignment="1" applyProtection="1">
      <alignment horizontal="right" vertical="center" wrapText="1"/>
      <protection/>
    </xf>
    <xf numFmtId="176" fontId="16" fillId="0" borderId="128" xfId="0" applyNumberFormat="1" applyFont="1" applyFill="1" applyBorder="1" applyAlignment="1" applyProtection="1">
      <alignment horizontal="right" vertical="center" wrapText="1"/>
      <protection/>
    </xf>
    <xf numFmtId="176" fontId="16" fillId="0" borderId="129" xfId="0" applyNumberFormat="1" applyFont="1" applyFill="1" applyBorder="1" applyAlignment="1" applyProtection="1">
      <alignment horizontal="right" vertical="center" wrapText="1"/>
      <protection/>
    </xf>
    <xf numFmtId="176" fontId="16" fillId="0" borderId="130" xfId="0" applyNumberFormat="1" applyFont="1" applyFill="1" applyBorder="1" applyAlignment="1" applyProtection="1">
      <alignment horizontal="right" vertical="center" wrapText="1"/>
      <protection/>
    </xf>
    <xf numFmtId="176" fontId="16" fillId="40" borderId="131" xfId="0" applyNumberFormat="1" applyFont="1" applyFill="1" applyBorder="1" applyAlignment="1" applyProtection="1">
      <alignment horizontal="right" vertical="center" wrapText="1"/>
      <protection locked="0"/>
    </xf>
    <xf numFmtId="176" fontId="16" fillId="40" borderId="132" xfId="0" applyNumberFormat="1" applyFont="1" applyFill="1" applyBorder="1" applyAlignment="1" applyProtection="1">
      <alignment horizontal="right" vertical="center" wrapText="1"/>
      <protection locked="0"/>
    </xf>
    <xf numFmtId="176" fontId="16" fillId="40" borderId="133" xfId="0" applyNumberFormat="1" applyFont="1" applyFill="1" applyBorder="1" applyAlignment="1" applyProtection="1">
      <alignment horizontal="right" vertical="center" wrapText="1"/>
      <protection locked="0"/>
    </xf>
    <xf numFmtId="176" fontId="16" fillId="40" borderId="32" xfId="0" applyNumberFormat="1" applyFont="1" applyFill="1" applyBorder="1" applyAlignment="1" applyProtection="1">
      <alignment horizontal="right" vertical="center" wrapText="1"/>
      <protection locked="0"/>
    </xf>
    <xf numFmtId="176" fontId="16" fillId="40" borderId="34" xfId="0" applyNumberFormat="1" applyFont="1" applyFill="1" applyBorder="1" applyAlignment="1" applyProtection="1">
      <alignment horizontal="right" vertical="center" wrapText="1"/>
      <protection locked="0"/>
    </xf>
    <xf numFmtId="176" fontId="16" fillId="40" borderId="40" xfId="0" applyNumberFormat="1" applyFont="1" applyFill="1" applyBorder="1" applyAlignment="1" applyProtection="1">
      <alignment horizontal="right" vertical="center" wrapText="1"/>
      <protection locked="0"/>
    </xf>
    <xf numFmtId="38" fontId="149" fillId="0" borderId="54" xfId="50" applyFont="1" applyFill="1" applyBorder="1" applyAlignment="1" applyProtection="1">
      <alignment horizontal="right" vertical="center"/>
      <protection/>
    </xf>
    <xf numFmtId="38" fontId="149" fillId="0" borderId="33" xfId="50" applyFont="1" applyFill="1" applyBorder="1" applyAlignment="1" applyProtection="1">
      <alignment horizontal="right" vertical="center"/>
      <protection/>
    </xf>
    <xf numFmtId="38" fontId="149" fillId="0" borderId="14" xfId="50" applyFont="1" applyFill="1" applyBorder="1" applyAlignment="1" applyProtection="1">
      <alignment horizontal="right" vertical="center"/>
      <protection/>
    </xf>
    <xf numFmtId="38" fontId="149" fillId="0" borderId="105" xfId="50" applyFont="1" applyFill="1" applyBorder="1" applyAlignment="1" applyProtection="1">
      <alignment horizontal="right" vertical="center"/>
      <protection/>
    </xf>
    <xf numFmtId="38" fontId="149" fillId="0" borderId="19" xfId="50" applyFont="1" applyFill="1" applyBorder="1" applyAlignment="1" applyProtection="1">
      <alignment horizontal="center" vertical="center"/>
      <protection/>
    </xf>
    <xf numFmtId="38" fontId="149" fillId="0" borderId="13" xfId="50" applyFont="1" applyFill="1" applyBorder="1" applyAlignment="1" applyProtection="1">
      <alignment horizontal="center" vertical="center"/>
      <protection/>
    </xf>
    <xf numFmtId="38" fontId="149" fillId="0" borderId="29" xfId="50" applyFont="1" applyFill="1" applyBorder="1" applyAlignment="1" applyProtection="1">
      <alignment horizontal="right" vertical="center"/>
      <protection/>
    </xf>
    <xf numFmtId="38" fontId="149" fillId="0" borderId="13" xfId="50" applyFont="1" applyFill="1" applyBorder="1" applyAlignment="1" applyProtection="1">
      <alignment horizontal="center" vertical="center"/>
      <protection locked="0"/>
    </xf>
    <xf numFmtId="38" fontId="149" fillId="0" borderId="15" xfId="50" applyFont="1" applyFill="1" applyBorder="1" applyAlignment="1" applyProtection="1">
      <alignment horizontal="center" vertical="center"/>
      <protection locked="0"/>
    </xf>
    <xf numFmtId="38" fontId="149" fillId="0" borderId="15" xfId="50" applyFont="1" applyFill="1" applyBorder="1" applyAlignment="1" applyProtection="1">
      <alignment horizontal="center" vertical="center"/>
      <protection/>
    </xf>
    <xf numFmtId="38" fontId="149" fillId="0" borderId="19" xfId="50" applyFont="1" applyFill="1" applyBorder="1" applyAlignment="1" applyProtection="1">
      <alignment horizontal="right" vertical="center"/>
      <protection/>
    </xf>
    <xf numFmtId="38" fontId="149" fillId="0" borderId="15" xfId="50" applyFont="1" applyFill="1" applyBorder="1" applyAlignment="1" applyProtection="1">
      <alignment horizontal="right" vertical="center"/>
      <protection/>
    </xf>
    <xf numFmtId="38" fontId="149" fillId="0" borderId="19" xfId="50" applyFont="1" applyFill="1" applyBorder="1" applyAlignment="1" applyProtection="1">
      <alignment horizontal="center" vertical="center"/>
      <protection locked="0"/>
    </xf>
    <xf numFmtId="38" fontId="149" fillId="0" borderId="18" xfId="50" applyFont="1" applyFill="1" applyBorder="1" applyAlignment="1" applyProtection="1">
      <alignment horizontal="center" vertical="center"/>
      <protection locked="0"/>
    </xf>
    <xf numFmtId="38" fontId="149" fillId="0" borderId="14" xfId="50" applyFont="1" applyFill="1" applyBorder="1" applyAlignment="1" applyProtection="1">
      <alignment horizontal="center" vertical="center"/>
      <protection locked="0"/>
    </xf>
    <xf numFmtId="38" fontId="149" fillId="0" borderId="12" xfId="50" applyFont="1" applyFill="1" applyBorder="1" applyAlignment="1" applyProtection="1">
      <alignment horizontal="right" vertical="center"/>
      <protection/>
    </xf>
    <xf numFmtId="38" fontId="149" fillId="0" borderId="134" xfId="50" applyFont="1" applyFill="1" applyBorder="1" applyAlignment="1" applyProtection="1">
      <alignment horizontal="right" vertical="center"/>
      <protection/>
    </xf>
    <xf numFmtId="58" fontId="170" fillId="0" borderId="0" xfId="0" applyNumberFormat="1" applyFont="1" applyBorder="1" applyAlignment="1" applyProtection="1">
      <alignment horizontal="left" vertical="center"/>
      <protection/>
    </xf>
    <xf numFmtId="200" fontId="148" fillId="0" borderId="0" xfId="0" applyNumberFormat="1" applyFont="1" applyBorder="1" applyAlignment="1" applyProtection="1">
      <alignment horizontal="center" vertical="center"/>
      <protection/>
    </xf>
    <xf numFmtId="55" fontId="0" fillId="0" borderId="0" xfId="0" applyNumberFormat="1" applyAlignment="1" applyProtection="1">
      <alignment horizontal="center" vertical="center"/>
      <protection locked="0"/>
    </xf>
    <xf numFmtId="55" fontId="0" fillId="0" borderId="0" xfId="0" applyNumberFormat="1" applyFont="1" applyAlignment="1" applyProtection="1">
      <alignment horizontal="right" vertical="center"/>
      <protection locked="0"/>
    </xf>
    <xf numFmtId="55" fontId="0" fillId="0" borderId="0" xfId="0" applyNumberFormat="1" applyAlignment="1" applyProtection="1">
      <alignment horizontal="right" vertical="center"/>
      <protection locked="0"/>
    </xf>
    <xf numFmtId="55" fontId="1" fillId="0" borderId="0" xfId="0" applyNumberFormat="1" applyFont="1" applyAlignment="1" applyProtection="1">
      <alignment horizontal="right" vertical="center"/>
      <protection locked="0"/>
    </xf>
    <xf numFmtId="55" fontId="162" fillId="0" borderId="10" xfId="0" applyNumberFormat="1" applyFont="1" applyBorder="1" applyAlignment="1" applyProtection="1">
      <alignment horizontal="center" vertical="center"/>
      <protection locked="0"/>
    </xf>
    <xf numFmtId="0" fontId="162" fillId="0" borderId="10" xfId="0" applyFont="1" applyBorder="1" applyAlignment="1" applyProtection="1">
      <alignment horizontal="center" vertical="center"/>
      <protection locked="0"/>
    </xf>
    <xf numFmtId="0" fontId="162" fillId="0" borderId="101" xfId="0" applyFont="1" applyBorder="1" applyAlignment="1" applyProtection="1">
      <alignment horizontal="center" vertical="center"/>
      <protection locked="0"/>
    </xf>
    <xf numFmtId="0" fontId="170" fillId="0" borderId="0" xfId="0" applyFont="1" applyAlignment="1" applyProtection="1">
      <alignment vertical="center"/>
      <protection locked="0"/>
    </xf>
    <xf numFmtId="0" fontId="148" fillId="0" borderId="0" xfId="0" applyFont="1" applyAlignment="1" applyProtection="1">
      <alignment vertical="center"/>
      <protection locked="0"/>
    </xf>
    <xf numFmtId="0" fontId="195" fillId="0" borderId="0" xfId="0" applyFont="1" applyAlignment="1" applyProtection="1">
      <alignment vertical="top"/>
      <protection locked="0"/>
    </xf>
    <xf numFmtId="0" fontId="186" fillId="0" borderId="0" xfId="0" applyFont="1" applyAlignment="1" applyProtection="1">
      <alignment horizontal="center" vertical="center"/>
      <protection locked="0"/>
    </xf>
    <xf numFmtId="0" fontId="186" fillId="0" borderId="0" xfId="0" applyFont="1" applyAlignment="1">
      <alignment horizontal="center" vertical="center"/>
    </xf>
    <xf numFmtId="0" fontId="148" fillId="0" borderId="0" xfId="0" applyFont="1" applyBorder="1" applyAlignment="1" applyProtection="1">
      <alignment vertical="center"/>
      <protection locked="0"/>
    </xf>
    <xf numFmtId="0" fontId="148" fillId="33" borderId="0" xfId="0" applyFont="1" applyFill="1" applyBorder="1" applyAlignment="1" applyProtection="1">
      <alignment vertical="center"/>
      <protection locked="0"/>
    </xf>
    <xf numFmtId="0" fontId="170" fillId="0" borderId="0" xfId="0" applyFont="1" applyAlignment="1" applyProtection="1">
      <alignment horizontal="left" vertical="center"/>
      <protection locked="0"/>
    </xf>
    <xf numFmtId="0" fontId="171" fillId="0" borderId="0" xfId="0" applyFont="1" applyAlignment="1" applyProtection="1">
      <alignment horizontal="right" vertical="center"/>
      <protection locked="0"/>
    </xf>
    <xf numFmtId="0" fontId="196" fillId="33" borderId="0" xfId="0" applyFont="1" applyFill="1" applyBorder="1" applyAlignment="1" applyProtection="1">
      <alignment horizontal="center" vertical="center"/>
      <protection locked="0"/>
    </xf>
    <xf numFmtId="0" fontId="162" fillId="0" borderId="126" xfId="0" applyFont="1" applyBorder="1" applyAlignment="1" applyProtection="1">
      <alignment horizontal="center" vertical="center"/>
      <protection locked="0"/>
    </xf>
    <xf numFmtId="38" fontId="149" fillId="7" borderId="54" xfId="50" applyFont="1" applyFill="1" applyBorder="1" applyAlignment="1" applyProtection="1">
      <alignment horizontal="right" vertical="center"/>
      <protection locked="0"/>
    </xf>
    <xf numFmtId="38" fontId="149" fillId="0" borderId="33" xfId="50" applyFont="1" applyBorder="1" applyAlignment="1" applyProtection="1">
      <alignment horizontal="right" vertical="center"/>
      <protection/>
    </xf>
    <xf numFmtId="38" fontId="149" fillId="7" borderId="14" xfId="50" applyFont="1" applyFill="1" applyBorder="1" applyAlignment="1" applyProtection="1">
      <alignment horizontal="right" vertical="center"/>
      <protection locked="0"/>
    </xf>
    <xf numFmtId="38" fontId="149" fillId="0" borderId="105" xfId="50" applyFont="1" applyBorder="1" applyAlignment="1" applyProtection="1">
      <alignment horizontal="right" vertical="center"/>
      <protection/>
    </xf>
    <xf numFmtId="38" fontId="149" fillId="7" borderId="100" xfId="50" applyFont="1" applyFill="1" applyBorder="1" applyAlignment="1" applyProtection="1">
      <alignment horizontal="right" vertical="center"/>
      <protection locked="0"/>
    </xf>
    <xf numFmtId="38" fontId="149" fillId="0" borderId="134" xfId="50" applyFont="1" applyBorder="1" applyAlignment="1" applyProtection="1">
      <alignment horizontal="right" vertical="center"/>
      <protection/>
    </xf>
    <xf numFmtId="38" fontId="149" fillId="0" borderId="54" xfId="50" applyFont="1" applyBorder="1" applyAlignment="1" applyProtection="1">
      <alignment horizontal="right" vertical="center"/>
      <protection/>
    </xf>
    <xf numFmtId="38" fontId="149" fillId="0" borderId="43" xfId="50" applyFont="1" applyBorder="1" applyAlignment="1" applyProtection="1">
      <alignment horizontal="right" vertical="center"/>
      <protection/>
    </xf>
    <xf numFmtId="38" fontId="149" fillId="33" borderId="33" xfId="50" applyFont="1" applyFill="1" applyBorder="1" applyAlignment="1" applyProtection="1">
      <alignment horizontal="right" vertical="center"/>
      <protection/>
    </xf>
    <xf numFmtId="38" fontId="149" fillId="0" borderId="29" xfId="50" applyFont="1" applyBorder="1" applyAlignment="1" applyProtection="1">
      <alignment horizontal="right" vertical="center"/>
      <protection locked="0"/>
    </xf>
    <xf numFmtId="38" fontId="149" fillId="0" borderId="53" xfId="50" applyFont="1" applyFill="1" applyBorder="1" applyAlignment="1" applyProtection="1">
      <alignment horizontal="right" vertical="center"/>
      <protection locked="0"/>
    </xf>
    <xf numFmtId="38" fontId="149" fillId="0" borderId="106" xfId="50" applyFont="1" applyBorder="1" applyAlignment="1" applyProtection="1">
      <alignment horizontal="right" vertical="center"/>
      <protection locked="0"/>
    </xf>
    <xf numFmtId="0" fontId="138" fillId="0" borderId="0" xfId="0" applyFont="1" applyBorder="1" applyAlignment="1" applyProtection="1">
      <alignment horizontal="center" vertical="center"/>
      <protection locked="0"/>
    </xf>
    <xf numFmtId="0" fontId="138" fillId="0" borderId="0" xfId="0" applyFont="1" applyBorder="1" applyAlignment="1" applyProtection="1">
      <alignment horizontal="left" vertical="center"/>
      <protection locked="0"/>
    </xf>
    <xf numFmtId="0" fontId="162" fillId="0" borderId="135" xfId="0" applyFont="1" applyBorder="1" applyAlignment="1" applyProtection="1">
      <alignment horizontal="center" vertical="center"/>
      <protection locked="0"/>
    </xf>
    <xf numFmtId="196" fontId="135" fillId="7" borderId="23" xfId="0" applyNumberFormat="1" applyFont="1" applyFill="1" applyBorder="1" applyAlignment="1" applyProtection="1">
      <alignment horizontal="center" vertical="center"/>
      <protection locked="0"/>
    </xf>
    <xf numFmtId="196" fontId="135" fillId="7" borderId="99" xfId="0" applyNumberFormat="1" applyFont="1" applyFill="1" applyBorder="1" applyAlignment="1" applyProtection="1">
      <alignment horizontal="center" vertical="center"/>
      <protection locked="0"/>
    </xf>
    <xf numFmtId="0" fontId="168" fillId="0" borderId="17" xfId="0" applyFont="1" applyFill="1" applyBorder="1" applyAlignment="1" applyProtection="1">
      <alignment horizontal="center" vertical="center"/>
      <protection locked="0"/>
    </xf>
    <xf numFmtId="38" fontId="149" fillId="0" borderId="125" xfId="50" applyFont="1" applyFill="1" applyBorder="1" applyAlignment="1" applyProtection="1">
      <alignment horizontal="right" vertical="center"/>
      <protection/>
    </xf>
    <xf numFmtId="38" fontId="149" fillId="0" borderId="136" xfId="50" applyFont="1" applyFill="1" applyBorder="1" applyAlignment="1" applyProtection="1">
      <alignment horizontal="right" vertical="center"/>
      <protection/>
    </xf>
    <xf numFmtId="38" fontId="149" fillId="0" borderId="137" xfId="50" applyFont="1" applyFill="1" applyBorder="1" applyAlignment="1" applyProtection="1">
      <alignment horizontal="right" vertical="center"/>
      <protection/>
    </xf>
    <xf numFmtId="38" fontId="149" fillId="0" borderId="126" xfId="50" applyFont="1" applyFill="1" applyBorder="1" applyAlignment="1" applyProtection="1">
      <alignment horizontal="right" vertical="center"/>
      <protection/>
    </xf>
    <xf numFmtId="38" fontId="191" fillId="0" borderId="138" xfId="50" applyFont="1" applyFill="1" applyBorder="1" applyAlignment="1" applyProtection="1">
      <alignment horizontal="right" vertical="center"/>
      <protection/>
    </xf>
    <xf numFmtId="38" fontId="0" fillId="0" borderId="0" xfId="0" applyNumberFormat="1" applyFill="1" applyAlignment="1" applyProtection="1">
      <alignment horizontal="center" vertical="center"/>
      <protection locked="0"/>
    </xf>
    <xf numFmtId="38" fontId="197" fillId="0" borderId="0" xfId="50" applyFont="1" applyFill="1" applyBorder="1" applyAlignment="1" applyProtection="1">
      <alignment horizontal="center" vertical="center"/>
      <protection locked="0"/>
    </xf>
    <xf numFmtId="38" fontId="0" fillId="0" borderId="0" xfId="50" applyFont="1" applyBorder="1" applyAlignment="1" applyProtection="1">
      <alignment horizontal="left" vertical="center"/>
      <protection locked="0"/>
    </xf>
    <xf numFmtId="38" fontId="157" fillId="33" borderId="138" xfId="50" applyFont="1" applyFill="1" applyBorder="1" applyAlignment="1" applyProtection="1">
      <alignment horizontal="center" vertical="center"/>
      <protection/>
    </xf>
    <xf numFmtId="38" fontId="157" fillId="33" borderId="0" xfId="50" applyFont="1" applyFill="1" applyBorder="1" applyAlignment="1" applyProtection="1">
      <alignment horizontal="center" vertical="center"/>
      <protection locked="0"/>
    </xf>
    <xf numFmtId="0" fontId="135" fillId="33" borderId="0" xfId="0" applyFont="1" applyFill="1" applyAlignment="1" applyProtection="1">
      <alignment vertical="center"/>
      <protection locked="0"/>
    </xf>
    <xf numFmtId="0" fontId="135" fillId="33" borderId="0" xfId="0" applyFont="1" applyFill="1" applyAlignment="1" applyProtection="1">
      <alignment horizontal="center" vertical="center"/>
      <protection locked="0"/>
    </xf>
    <xf numFmtId="201" fontId="157" fillId="33" borderId="0" xfId="50" applyNumberFormat="1" applyFont="1" applyFill="1" applyBorder="1" applyAlignment="1" applyProtection="1">
      <alignment horizontal="center" vertical="center"/>
      <protection/>
    </xf>
    <xf numFmtId="0" fontId="188" fillId="33" borderId="0" xfId="0" applyFont="1" applyFill="1" applyAlignment="1" applyProtection="1">
      <alignment horizontal="left" wrapText="1"/>
      <protection locked="0"/>
    </xf>
    <xf numFmtId="0" fontId="0" fillId="33" borderId="0" xfId="0" applyFill="1" applyBorder="1" applyAlignment="1" applyProtection="1">
      <alignment horizontal="center" vertical="center"/>
      <protection locked="0"/>
    </xf>
    <xf numFmtId="0" fontId="170" fillId="0" borderId="35" xfId="0" applyFont="1" applyFill="1" applyBorder="1" applyAlignment="1" applyProtection="1">
      <alignment vertical="center"/>
      <protection/>
    </xf>
    <xf numFmtId="0" fontId="170" fillId="0" borderId="35" xfId="0" applyFont="1" applyFill="1" applyBorder="1" applyAlignment="1" applyProtection="1">
      <alignment/>
      <protection locked="0"/>
    </xf>
    <xf numFmtId="0" fontId="170" fillId="0" borderId="35" xfId="0" applyFont="1" applyFill="1" applyBorder="1" applyAlignment="1" applyProtection="1">
      <alignment vertical="center"/>
      <protection locked="0"/>
    </xf>
    <xf numFmtId="0" fontId="170" fillId="0" borderId="35" xfId="0" applyFont="1" applyFill="1" applyBorder="1" applyAlignment="1" applyProtection="1">
      <alignment horizontal="left" vertical="center"/>
      <protection locked="0"/>
    </xf>
    <xf numFmtId="200" fontId="170" fillId="0" borderId="35"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locked="0"/>
    </xf>
    <xf numFmtId="0" fontId="182" fillId="0" borderId="0" xfId="0" applyFont="1" applyFill="1" applyAlignment="1" applyProtection="1">
      <alignment horizontal="right" vertical="center"/>
      <protection/>
    </xf>
    <xf numFmtId="0" fontId="149" fillId="0" borderId="0" xfId="0" applyFont="1" applyFill="1" applyBorder="1" applyAlignment="1" applyProtection="1">
      <alignment horizontal="center" vertical="center"/>
      <protection locked="0"/>
    </xf>
    <xf numFmtId="0" fontId="157" fillId="0" borderId="0" xfId="0" applyFont="1" applyFill="1" applyBorder="1" applyAlignment="1" applyProtection="1">
      <alignment vertical="center"/>
      <protection locked="0"/>
    </xf>
    <xf numFmtId="0" fontId="149" fillId="0" borderId="0" xfId="0" applyFont="1" applyFill="1" applyBorder="1" applyAlignment="1" applyProtection="1">
      <alignment vertical="center"/>
      <protection locked="0"/>
    </xf>
    <xf numFmtId="0" fontId="121" fillId="0" borderId="13" xfId="44" applyFill="1" applyBorder="1" applyAlignment="1" applyProtection="1">
      <alignment vertical="center"/>
      <protection/>
    </xf>
    <xf numFmtId="14" fontId="163" fillId="0" borderId="0" xfId="0" applyNumberFormat="1" applyFont="1" applyFill="1" applyAlignment="1" applyProtection="1">
      <alignment vertical="center"/>
      <protection locked="0"/>
    </xf>
    <xf numFmtId="196" fontId="163" fillId="0" borderId="97" xfId="0" applyNumberFormat="1" applyFont="1" applyFill="1" applyBorder="1" applyAlignment="1" applyProtection="1">
      <alignment horizontal="center" vertical="center"/>
      <protection locked="0"/>
    </xf>
    <xf numFmtId="196" fontId="163" fillId="0" borderId="139"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wrapText="1"/>
      <protection locked="0"/>
    </xf>
    <xf numFmtId="0" fontId="163" fillId="0" borderId="0" xfId="0" applyFont="1" applyFill="1" applyBorder="1" applyAlignment="1" applyProtection="1">
      <alignment vertical="center" shrinkToFit="1"/>
      <protection locked="0"/>
    </xf>
    <xf numFmtId="0" fontId="198" fillId="7" borderId="0" xfId="0" applyFont="1" applyFill="1" applyAlignment="1" applyProtection="1">
      <alignment horizontal="left" vertical="center"/>
      <protection locked="0"/>
    </xf>
    <xf numFmtId="0" fontId="121" fillId="0" borderId="0" xfId="44" applyAlignment="1" applyProtection="1">
      <alignment vertical="center"/>
      <protection locked="0"/>
    </xf>
    <xf numFmtId="178" fontId="153" fillId="34" borderId="99" xfId="0" applyNumberFormat="1" applyFont="1" applyFill="1" applyBorder="1" applyAlignment="1" applyProtection="1">
      <alignment horizontal="right" vertical="center" wrapText="1"/>
      <protection/>
    </xf>
    <xf numFmtId="38" fontId="199" fillId="0" borderId="138" xfId="50" applyFont="1" applyFill="1" applyBorder="1" applyAlignment="1">
      <alignment vertical="center"/>
    </xf>
    <xf numFmtId="38" fontId="199" fillId="0" borderId="138" xfId="50" applyFont="1" applyFill="1" applyBorder="1" applyAlignment="1" applyProtection="1">
      <alignment vertical="center"/>
      <protection locked="0"/>
    </xf>
    <xf numFmtId="0" fontId="138" fillId="0" borderId="13" xfId="0" applyFont="1" applyBorder="1" applyAlignment="1" applyProtection="1">
      <alignment horizontal="center" vertical="center"/>
      <protection/>
    </xf>
    <xf numFmtId="38" fontId="18" fillId="0" borderId="13" xfId="50" applyNumberFormat="1" applyFont="1" applyFill="1" applyBorder="1" applyAlignment="1" applyProtection="1">
      <alignment horizontal="right" vertical="center" indent="1"/>
      <protection/>
    </xf>
    <xf numFmtId="38" fontId="18" fillId="0" borderId="13" xfId="50" applyNumberFormat="1" applyFont="1" applyBorder="1" applyAlignment="1" applyProtection="1">
      <alignment horizontal="right" vertical="center" indent="1"/>
      <protection locked="0"/>
    </xf>
    <xf numFmtId="0" fontId="3" fillId="0" borderId="114"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200" fillId="0" borderId="13" xfId="0" applyFont="1" applyBorder="1" applyAlignment="1" applyProtection="1">
      <alignment horizontal="center" vertical="center"/>
      <protection/>
    </xf>
    <xf numFmtId="0" fontId="3" fillId="0" borderId="13" xfId="0" applyFont="1" applyFill="1" applyBorder="1" applyAlignment="1" applyProtection="1">
      <alignment vertical="center" shrinkToFit="1"/>
      <protection locked="0"/>
    </xf>
    <xf numFmtId="38" fontId="182" fillId="7" borderId="140" xfId="50" applyFont="1" applyFill="1" applyBorder="1" applyAlignment="1" applyProtection="1">
      <alignment horizontal="right" vertical="center"/>
      <protection locked="0"/>
    </xf>
    <xf numFmtId="38" fontId="182" fillId="7" borderId="141" xfId="50" applyFont="1" applyFill="1" applyBorder="1" applyAlignment="1" applyProtection="1">
      <alignment horizontal="right" vertical="center"/>
      <protection locked="0"/>
    </xf>
    <xf numFmtId="38" fontId="182" fillId="7" borderId="142" xfId="50" applyFont="1" applyFill="1" applyBorder="1" applyAlignment="1" applyProtection="1">
      <alignment horizontal="right" vertical="center"/>
      <protection locked="0"/>
    </xf>
    <xf numFmtId="176" fontId="182" fillId="7" borderId="140" xfId="0" applyNumberFormat="1" applyFont="1" applyFill="1" applyBorder="1" applyAlignment="1" applyProtection="1">
      <alignment horizontal="right" vertical="center" wrapText="1"/>
      <protection locked="0"/>
    </xf>
    <xf numFmtId="176" fontId="182" fillId="7" borderId="141" xfId="0" applyNumberFormat="1" applyFont="1" applyFill="1" applyBorder="1" applyAlignment="1" applyProtection="1">
      <alignment horizontal="right" vertical="center" wrapText="1"/>
      <protection locked="0"/>
    </xf>
    <xf numFmtId="176" fontId="182" fillId="7" borderId="142" xfId="0" applyNumberFormat="1" applyFont="1" applyFill="1" applyBorder="1" applyAlignment="1" applyProtection="1">
      <alignment horizontal="right" vertical="center" wrapText="1"/>
      <protection locked="0"/>
    </xf>
    <xf numFmtId="0" fontId="3" fillId="0" borderId="109" xfId="0" applyFont="1" applyFill="1" applyBorder="1" applyAlignment="1" applyProtection="1">
      <alignment vertical="center" wrapText="1"/>
      <protection locked="0"/>
    </xf>
    <xf numFmtId="0" fontId="149" fillId="0" borderId="109" xfId="0" applyFont="1" applyBorder="1" applyAlignment="1" applyProtection="1">
      <alignment horizontal="center" vertical="center"/>
      <protection locked="0"/>
    </xf>
    <xf numFmtId="0" fontId="168" fillId="0" borderId="0" xfId="0" applyFont="1" applyFill="1" applyAlignment="1" applyProtection="1">
      <alignment horizontal="center" vertical="center"/>
      <protection locked="0"/>
    </xf>
    <xf numFmtId="0" fontId="22" fillId="0" borderId="0" xfId="0" applyFont="1" applyAlignment="1" applyProtection="1">
      <alignment horizontal="center" vertical="center"/>
      <protection locked="0"/>
    </xf>
    <xf numFmtId="0" fontId="157" fillId="0" borderId="109" xfId="0" applyFont="1" applyBorder="1" applyAlignment="1" applyProtection="1">
      <alignment vertical="center"/>
      <protection locked="0"/>
    </xf>
    <xf numFmtId="0" fontId="157" fillId="0" borderId="109" xfId="0" applyFont="1" applyBorder="1" applyAlignment="1" applyProtection="1">
      <alignment horizontal="center" vertical="center"/>
      <protection locked="0"/>
    </xf>
    <xf numFmtId="0" fontId="157" fillId="0" borderId="0" xfId="0" applyFont="1" applyBorder="1" applyAlignment="1" applyProtection="1">
      <alignment vertical="center"/>
      <protection locked="0"/>
    </xf>
    <xf numFmtId="0" fontId="157" fillId="0" borderId="36" xfId="0" applyFont="1" applyBorder="1" applyAlignment="1" applyProtection="1">
      <alignment vertical="center"/>
      <protection/>
    </xf>
    <xf numFmtId="0" fontId="157" fillId="0" borderId="36" xfId="0" applyFont="1" applyBorder="1" applyAlignment="1" applyProtection="1">
      <alignment horizontal="center" vertical="center"/>
      <protection/>
    </xf>
    <xf numFmtId="0" fontId="157" fillId="0" borderId="0" xfId="0" applyFont="1" applyBorder="1" applyAlignment="1" applyProtection="1">
      <alignment vertical="center"/>
      <protection/>
    </xf>
    <xf numFmtId="213" fontId="5" fillId="33" borderId="0" xfId="50" applyNumberFormat="1" applyFont="1" applyFill="1" applyBorder="1" applyAlignment="1" applyProtection="1">
      <alignment vertical="center" wrapText="1"/>
      <protection/>
    </xf>
    <xf numFmtId="0" fontId="7" fillId="0" borderId="0" xfId="0" applyFont="1" applyAlignment="1" applyProtection="1">
      <alignment horizontal="center" vertical="center"/>
      <protection locked="0"/>
    </xf>
    <xf numFmtId="0" fontId="149" fillId="0" borderId="0" xfId="0" applyFont="1" applyBorder="1" applyAlignment="1" applyProtection="1">
      <alignment vertical="center"/>
      <protection/>
    </xf>
    <xf numFmtId="0" fontId="192" fillId="0" borderId="0" xfId="0" applyFont="1" applyBorder="1" applyAlignment="1" applyProtection="1">
      <alignment horizontal="center" vertical="center"/>
      <protection locked="0"/>
    </xf>
    <xf numFmtId="0" fontId="174" fillId="0" borderId="0" xfId="0" applyFont="1" applyFill="1" applyBorder="1" applyAlignment="1" applyProtection="1">
      <alignment horizontal="left" vertical="center"/>
      <protection/>
    </xf>
    <xf numFmtId="213" fontId="174" fillId="0" borderId="0" xfId="0" applyNumberFormat="1" applyFont="1" applyFill="1" applyBorder="1" applyAlignment="1" applyProtection="1">
      <alignment horizontal="center" vertical="center"/>
      <protection/>
    </xf>
    <xf numFmtId="0" fontId="149" fillId="0" borderId="0" xfId="0" applyFont="1" applyAlignment="1" applyProtection="1">
      <alignment horizontal="right" vertical="center"/>
      <protection locked="0"/>
    </xf>
    <xf numFmtId="0" fontId="182" fillId="0" borderId="0" xfId="0" applyFont="1" applyBorder="1" applyAlignment="1" applyProtection="1">
      <alignment horizontal="left" vertical="center"/>
      <protection/>
    </xf>
    <xf numFmtId="0" fontId="182" fillId="0" borderId="0" xfId="0" applyFont="1" applyBorder="1" applyAlignment="1" applyProtection="1">
      <alignment vertical="center"/>
      <protection/>
    </xf>
    <xf numFmtId="0" fontId="149" fillId="0" borderId="0" xfId="0" applyFont="1" applyFill="1" applyAlignment="1" applyProtection="1">
      <alignment horizontal="right" vertical="center"/>
      <protection locked="0"/>
    </xf>
    <xf numFmtId="0" fontId="149" fillId="0" borderId="0" xfId="0" applyFont="1" applyBorder="1" applyAlignment="1" applyProtection="1">
      <alignment horizontal="center" vertical="center"/>
      <protection/>
    </xf>
    <xf numFmtId="0" fontId="168" fillId="0" borderId="109" xfId="0" applyFont="1" applyBorder="1" applyAlignment="1" applyProtection="1">
      <alignment vertical="center"/>
      <protection locked="0"/>
    </xf>
    <xf numFmtId="0" fontId="168" fillId="0" borderId="109" xfId="0" applyFont="1" applyBorder="1" applyAlignment="1" applyProtection="1">
      <alignment horizontal="center" vertical="center"/>
      <protection locked="0"/>
    </xf>
    <xf numFmtId="0" fontId="174" fillId="0" borderId="0" xfId="0" applyFont="1" applyFill="1" applyAlignment="1" applyProtection="1">
      <alignment horizontal="center" vertical="center"/>
      <protection locked="0"/>
    </xf>
    <xf numFmtId="176" fontId="182" fillId="7" borderId="143" xfId="0" applyNumberFormat="1" applyFont="1" applyFill="1" applyBorder="1" applyAlignment="1" applyProtection="1">
      <alignment horizontal="right" vertical="center" wrapText="1"/>
      <protection locked="0"/>
    </xf>
    <xf numFmtId="0" fontId="6" fillId="0" borderId="144" xfId="0" applyFont="1" applyFill="1" applyBorder="1" applyAlignment="1" applyProtection="1">
      <alignment horizontal="center" vertical="center" wrapText="1"/>
      <protection locked="0"/>
    </xf>
    <xf numFmtId="0" fontId="6" fillId="0" borderId="145" xfId="0" applyFont="1" applyFill="1" applyBorder="1" applyAlignment="1" applyProtection="1">
      <alignment vertical="center" wrapText="1"/>
      <protection/>
    </xf>
    <xf numFmtId="38" fontId="182" fillId="0" borderId="110" xfId="50" applyFont="1" applyFill="1" applyBorder="1" applyAlignment="1" applyProtection="1">
      <alignment horizontal="right" vertical="center"/>
      <protection/>
    </xf>
    <xf numFmtId="38" fontId="182" fillId="0" borderId="62" xfId="50" applyFont="1" applyFill="1" applyBorder="1" applyAlignment="1" applyProtection="1">
      <alignment horizontal="right" vertical="center"/>
      <protection/>
    </xf>
    <xf numFmtId="176" fontId="182" fillId="0" borderId="140" xfId="0" applyNumberFormat="1" applyFont="1" applyFill="1" applyBorder="1" applyAlignment="1" applyProtection="1">
      <alignment horizontal="right" vertical="center" wrapText="1"/>
      <protection/>
    </xf>
    <xf numFmtId="176" fontId="182" fillId="0" borderId="62" xfId="0" applyNumberFormat="1" applyFont="1" applyFill="1" applyBorder="1" applyAlignment="1" applyProtection="1">
      <alignment horizontal="right" vertical="center" wrapText="1"/>
      <protection/>
    </xf>
    <xf numFmtId="176" fontId="182" fillId="0" borderId="143" xfId="0" applyNumberFormat="1" applyFont="1" applyFill="1" applyBorder="1" applyAlignment="1" applyProtection="1">
      <alignment horizontal="right" vertical="center" wrapText="1"/>
      <protection/>
    </xf>
    <xf numFmtId="176" fontId="182" fillId="0" borderId="62" xfId="0" applyNumberFormat="1" applyFont="1" applyFill="1" applyBorder="1" applyAlignment="1" applyProtection="1">
      <alignment horizontal="center" vertical="center" wrapText="1"/>
      <protection/>
    </xf>
    <xf numFmtId="176" fontId="182" fillId="16" borderId="140" xfId="0" applyNumberFormat="1" applyFont="1" applyFill="1" applyBorder="1" applyAlignment="1" applyProtection="1">
      <alignment horizontal="right" vertical="center" wrapText="1"/>
      <protection/>
    </xf>
    <xf numFmtId="176" fontId="13" fillId="16" borderId="58" xfId="0" applyNumberFormat="1" applyFont="1" applyFill="1" applyBorder="1" applyAlignment="1" applyProtection="1">
      <alignment horizontal="right" vertical="center" wrapText="1"/>
      <protection/>
    </xf>
    <xf numFmtId="38" fontId="13" fillId="0" borderId="57" xfId="50" applyFont="1" applyFill="1" applyBorder="1" applyAlignment="1" applyProtection="1">
      <alignment horizontal="center" vertical="center"/>
      <protection/>
    </xf>
    <xf numFmtId="176" fontId="182" fillId="7" borderId="146" xfId="0" applyNumberFormat="1" applyFont="1" applyFill="1" applyBorder="1" applyAlignment="1" applyProtection="1">
      <alignment horizontal="right" vertical="center" wrapText="1"/>
      <protection locked="0"/>
    </xf>
    <xf numFmtId="0" fontId="6" fillId="0" borderId="147" xfId="0" applyFont="1" applyFill="1" applyBorder="1" applyAlignment="1" applyProtection="1">
      <alignment horizontal="center" vertical="center" wrapText="1"/>
      <protection locked="0"/>
    </xf>
    <xf numFmtId="0" fontId="6" fillId="0" borderId="148" xfId="0" applyFont="1" applyFill="1" applyBorder="1" applyAlignment="1" applyProtection="1">
      <alignment vertical="center" wrapText="1"/>
      <protection/>
    </xf>
    <xf numFmtId="38" fontId="182" fillId="0" borderId="141" xfId="50" applyFont="1" applyFill="1" applyBorder="1" applyAlignment="1" applyProtection="1">
      <alignment horizontal="right" vertical="center"/>
      <protection/>
    </xf>
    <xf numFmtId="38" fontId="182" fillId="0" borderId="63" xfId="50" applyFont="1" applyFill="1" applyBorder="1" applyAlignment="1" applyProtection="1">
      <alignment horizontal="right" vertical="center"/>
      <protection/>
    </xf>
    <xf numFmtId="176" fontId="182" fillId="0" borderId="141" xfId="0" applyNumberFormat="1" applyFont="1" applyFill="1" applyBorder="1" applyAlignment="1" applyProtection="1">
      <alignment horizontal="right" vertical="center" wrapText="1"/>
      <protection/>
    </xf>
    <xf numFmtId="176" fontId="182" fillId="0" borderId="63" xfId="0" applyNumberFormat="1" applyFont="1" applyFill="1" applyBorder="1" applyAlignment="1" applyProtection="1">
      <alignment horizontal="right" vertical="center" wrapText="1"/>
      <protection/>
    </xf>
    <xf numFmtId="176" fontId="182" fillId="0" borderId="146" xfId="0" applyNumberFormat="1" applyFont="1" applyFill="1" applyBorder="1" applyAlignment="1" applyProtection="1">
      <alignment horizontal="right" vertical="center" wrapText="1"/>
      <protection/>
    </xf>
    <xf numFmtId="176" fontId="182" fillId="0" borderId="63" xfId="0" applyNumberFormat="1" applyFont="1" applyFill="1" applyBorder="1" applyAlignment="1" applyProtection="1">
      <alignment horizontal="center" vertical="center" wrapText="1"/>
      <protection/>
    </xf>
    <xf numFmtId="176" fontId="182" fillId="16" borderId="141" xfId="0" applyNumberFormat="1" applyFont="1" applyFill="1" applyBorder="1" applyAlignment="1" applyProtection="1">
      <alignment horizontal="right" vertical="center" wrapText="1"/>
      <protection/>
    </xf>
    <xf numFmtId="176" fontId="182" fillId="7" borderId="149" xfId="0" applyNumberFormat="1" applyFont="1" applyFill="1" applyBorder="1" applyAlignment="1" applyProtection="1">
      <alignment horizontal="right" vertical="center" wrapText="1"/>
      <protection locked="0"/>
    </xf>
    <xf numFmtId="0" fontId="6" fillId="0" borderId="150" xfId="0" applyFont="1" applyFill="1" applyBorder="1" applyAlignment="1" applyProtection="1">
      <alignment horizontal="center" vertical="center" wrapText="1"/>
      <protection locked="0"/>
    </xf>
    <xf numFmtId="0" fontId="6" fillId="0" borderId="151" xfId="0" applyFont="1" applyFill="1" applyBorder="1" applyAlignment="1" applyProtection="1">
      <alignment vertical="center" wrapText="1"/>
      <protection/>
    </xf>
    <xf numFmtId="38" fontId="182" fillId="0" borderId="142" xfId="50" applyFont="1" applyFill="1" applyBorder="1" applyAlignment="1" applyProtection="1">
      <alignment horizontal="right" vertical="center"/>
      <protection/>
    </xf>
    <xf numFmtId="38" fontId="182" fillId="0" borderId="64" xfId="50" applyFont="1" applyFill="1" applyBorder="1" applyAlignment="1" applyProtection="1">
      <alignment horizontal="right" vertical="center"/>
      <protection/>
    </xf>
    <xf numFmtId="176" fontId="182" fillId="0" borderId="142" xfId="0" applyNumberFormat="1" applyFont="1" applyFill="1" applyBorder="1" applyAlignment="1" applyProtection="1">
      <alignment horizontal="right" vertical="center" wrapText="1"/>
      <protection/>
    </xf>
    <xf numFmtId="176" fontId="182" fillId="0" borderId="64" xfId="0" applyNumberFormat="1" applyFont="1" applyFill="1" applyBorder="1" applyAlignment="1" applyProtection="1">
      <alignment horizontal="right" vertical="center" wrapText="1"/>
      <protection/>
    </xf>
    <xf numFmtId="176" fontId="182" fillId="0" borderId="149" xfId="0" applyNumberFormat="1" applyFont="1" applyFill="1" applyBorder="1" applyAlignment="1" applyProtection="1">
      <alignment horizontal="right" vertical="center" wrapText="1"/>
      <protection/>
    </xf>
    <xf numFmtId="176" fontId="182" fillId="0" borderId="64" xfId="0" applyNumberFormat="1" applyFont="1" applyFill="1" applyBorder="1" applyAlignment="1" applyProtection="1">
      <alignment horizontal="center" vertical="center" wrapText="1"/>
      <protection/>
    </xf>
    <xf numFmtId="38" fontId="13" fillId="0" borderId="152" xfId="50" applyFont="1" applyFill="1" applyBorder="1" applyAlignment="1" applyProtection="1">
      <alignment horizontal="center" vertical="center"/>
      <protection/>
    </xf>
    <xf numFmtId="0" fontId="14" fillId="0" borderId="102" xfId="0" applyFont="1" applyFill="1" applyBorder="1" applyAlignment="1" applyProtection="1" quotePrefix="1">
      <alignment horizontal="center" vertical="center" wrapText="1"/>
      <protection locked="0"/>
    </xf>
    <xf numFmtId="176" fontId="182" fillId="0" borderId="36" xfId="0" applyNumberFormat="1" applyFont="1" applyFill="1" applyBorder="1" applyAlignment="1" applyProtection="1">
      <alignment horizontal="right" vertical="center" wrapText="1"/>
      <protection locked="0"/>
    </xf>
    <xf numFmtId="0" fontId="6" fillId="0" borderId="153" xfId="0" applyFont="1" applyFill="1" applyBorder="1" applyAlignment="1" applyProtection="1">
      <alignment horizontal="center" vertical="center" wrapText="1"/>
      <protection locked="0"/>
    </xf>
    <xf numFmtId="0" fontId="14" fillId="0" borderId="154" xfId="0" applyFont="1" applyFill="1" applyBorder="1" applyAlignment="1" applyProtection="1" quotePrefix="1">
      <alignment horizontal="center" vertical="center" wrapText="1"/>
      <protection/>
    </xf>
    <xf numFmtId="176" fontId="182" fillId="0" borderId="18" xfId="0" applyNumberFormat="1" applyFont="1" applyFill="1" applyBorder="1" applyAlignment="1" applyProtection="1">
      <alignment horizontal="right" vertical="center" wrapText="1"/>
      <protection/>
    </xf>
    <xf numFmtId="176" fontId="182" fillId="0" borderId="102" xfId="0" applyNumberFormat="1" applyFont="1" applyFill="1" applyBorder="1" applyAlignment="1" applyProtection="1">
      <alignment horizontal="right" vertical="center" wrapText="1"/>
      <protection/>
    </xf>
    <xf numFmtId="0" fontId="17" fillId="0" borderId="102" xfId="0" applyFont="1" applyFill="1" applyBorder="1" applyAlignment="1" applyProtection="1" quotePrefix="1">
      <alignment horizontal="center" vertical="center" wrapText="1"/>
      <protection/>
    </xf>
    <xf numFmtId="176" fontId="182" fillId="0" borderId="36" xfId="0" applyNumberFormat="1" applyFont="1" applyFill="1" applyBorder="1" applyAlignment="1" applyProtection="1">
      <alignment horizontal="right" vertical="center" wrapText="1"/>
      <protection/>
    </xf>
    <xf numFmtId="0" fontId="14" fillId="0" borderId="102" xfId="0" applyFont="1" applyFill="1" applyBorder="1" applyAlignment="1" applyProtection="1" quotePrefix="1">
      <alignment horizontal="center" vertical="center" wrapText="1"/>
      <protection/>
    </xf>
    <xf numFmtId="0" fontId="152" fillId="0" borderId="13" xfId="0" applyFont="1" applyBorder="1" applyAlignment="1" applyProtection="1">
      <alignment horizontal="center" vertical="center"/>
      <protection locked="0"/>
    </xf>
    <xf numFmtId="176" fontId="13" fillId="0" borderId="155" xfId="0" applyNumberFormat="1" applyFont="1" applyFill="1" applyBorder="1" applyAlignment="1" applyProtection="1">
      <alignment horizontal="right" vertical="center" wrapText="1"/>
      <protection/>
    </xf>
    <xf numFmtId="176" fontId="13" fillId="0" borderId="15" xfId="0" applyNumberFormat="1" applyFont="1" applyFill="1" applyBorder="1" applyAlignment="1" applyProtection="1">
      <alignment horizontal="center" vertical="center" wrapText="1"/>
      <protection/>
    </xf>
    <xf numFmtId="0" fontId="13" fillId="0" borderId="155" xfId="0" applyFont="1" applyBorder="1" applyAlignment="1" applyProtection="1">
      <alignment horizontal="center" vertical="center"/>
      <protection/>
    </xf>
    <xf numFmtId="0" fontId="162" fillId="0" borderId="109" xfId="0" applyFont="1" applyBorder="1" applyAlignment="1" applyProtection="1">
      <alignment horizontal="center" vertical="center"/>
      <protection/>
    </xf>
    <xf numFmtId="49" fontId="138" fillId="0" borderId="0" xfId="0" applyNumberFormat="1" applyFont="1" applyFill="1" applyBorder="1" applyAlignment="1" applyProtection="1">
      <alignment horizontal="center" vertical="center"/>
      <protection/>
    </xf>
    <xf numFmtId="222" fontId="138" fillId="0" borderId="0" xfId="0" applyNumberFormat="1" applyFont="1" applyFill="1" applyBorder="1" applyAlignment="1" applyProtection="1">
      <alignment vertical="center"/>
      <protection/>
    </xf>
    <xf numFmtId="176" fontId="13" fillId="0" borderId="13" xfId="0" applyNumberFormat="1" applyFont="1" applyFill="1" applyBorder="1" applyAlignment="1" applyProtection="1">
      <alignment vertical="center" wrapText="1"/>
      <protection/>
    </xf>
    <xf numFmtId="176" fontId="18" fillId="0" borderId="13" xfId="0" applyNumberFormat="1" applyFont="1" applyFill="1" applyBorder="1" applyAlignment="1" applyProtection="1">
      <alignment vertical="center" wrapText="1"/>
      <protection/>
    </xf>
    <xf numFmtId="38" fontId="13" fillId="0" borderId="0" xfId="50" applyFont="1" applyFill="1" applyBorder="1" applyAlignment="1" applyProtection="1">
      <alignment horizontal="center" vertical="center"/>
      <protection/>
    </xf>
    <xf numFmtId="0" fontId="149" fillId="0" borderId="0" xfId="0" applyFont="1" applyFill="1" applyAlignment="1" applyProtection="1">
      <alignment vertical="center"/>
      <protection/>
    </xf>
    <xf numFmtId="0" fontId="149" fillId="0" borderId="0" xfId="0" applyFont="1" applyAlignment="1" applyProtection="1">
      <alignment vertical="center"/>
      <protection/>
    </xf>
    <xf numFmtId="0" fontId="162" fillId="0" borderId="0" xfId="0" applyFont="1" applyAlignment="1" applyProtection="1">
      <alignment vertical="center"/>
      <protection/>
    </xf>
    <xf numFmtId="0" fontId="168" fillId="0" borderId="0" xfId="0" applyFont="1" applyAlignment="1" applyProtection="1">
      <alignment horizontal="center" vertical="center"/>
      <protection/>
    </xf>
    <xf numFmtId="0" fontId="168" fillId="0" borderId="0" xfId="0" applyFont="1" applyAlignment="1" applyProtection="1">
      <alignment vertical="center"/>
      <protection/>
    </xf>
    <xf numFmtId="0" fontId="201" fillId="0" borderId="0" xfId="0" applyFont="1" applyAlignment="1" applyProtection="1">
      <alignment horizontal="left"/>
      <protection locked="0"/>
    </xf>
    <xf numFmtId="0" fontId="163" fillId="0" borderId="0" xfId="0" applyFont="1" applyAlignment="1" applyProtection="1">
      <alignment horizontal="center"/>
      <protection locked="0"/>
    </xf>
    <xf numFmtId="176" fontId="202" fillId="0" borderId="0" xfId="0" applyNumberFormat="1" applyFont="1" applyAlignment="1" applyProtection="1">
      <alignment vertical="center"/>
      <protection locked="0"/>
    </xf>
    <xf numFmtId="213" fontId="13" fillId="0" borderId="0" xfId="50" applyNumberFormat="1" applyFont="1" applyFill="1" applyBorder="1" applyAlignment="1" applyProtection="1">
      <alignment horizontal="center" vertical="center"/>
      <protection/>
    </xf>
    <xf numFmtId="0" fontId="203" fillId="0" borderId="0" xfId="0" applyFont="1" applyAlignment="1" applyProtection="1">
      <alignment horizontal="left" vertical="center" indent="2"/>
      <protection locked="0"/>
    </xf>
    <xf numFmtId="0" fontId="165" fillId="0" borderId="0" xfId="0" applyFont="1" applyAlignment="1" applyProtection="1">
      <alignment horizontal="left" vertical="center" indent="2"/>
      <protection locked="0"/>
    </xf>
    <xf numFmtId="0" fontId="176" fillId="0" borderId="0" xfId="0" applyFont="1" applyAlignment="1" applyProtection="1">
      <alignment horizontal="center" vertical="center"/>
      <protection locked="0"/>
    </xf>
    <xf numFmtId="221" fontId="13" fillId="0" borderId="0" xfId="50" applyNumberFormat="1" applyFont="1" applyFill="1" applyBorder="1" applyAlignment="1" applyProtection="1">
      <alignment horizontal="center" vertical="center"/>
      <protection/>
    </xf>
    <xf numFmtId="0" fontId="139" fillId="0" borderId="0" xfId="0" applyFont="1" applyFill="1" applyAlignment="1" applyProtection="1">
      <alignment vertical="center"/>
      <protection/>
    </xf>
    <xf numFmtId="0" fontId="139" fillId="0" borderId="0" xfId="0" applyFont="1" applyAlignment="1" applyProtection="1">
      <alignment vertical="center"/>
      <protection/>
    </xf>
    <xf numFmtId="0" fontId="165" fillId="0" borderId="0" xfId="0" applyFont="1" applyAlignment="1" applyProtection="1">
      <alignment horizontal="left" vertical="center" indent="3"/>
      <protection locked="0"/>
    </xf>
    <xf numFmtId="176" fontId="182" fillId="0" borderId="13" xfId="0" applyNumberFormat="1" applyFont="1" applyFill="1" applyBorder="1" applyAlignment="1" applyProtection="1">
      <alignment vertical="center" wrapText="1"/>
      <protection/>
    </xf>
    <xf numFmtId="0" fontId="152" fillId="0" borderId="13" xfId="0" applyFont="1" applyFill="1" applyBorder="1" applyAlignment="1" applyProtection="1">
      <alignment vertical="center"/>
      <protection/>
    </xf>
    <xf numFmtId="0" fontId="204" fillId="0" borderId="0" xfId="0" applyFont="1" applyAlignment="1" applyProtection="1">
      <alignment horizontal="left" vertical="center"/>
      <protection locked="0"/>
    </xf>
    <xf numFmtId="176" fontId="204" fillId="0" borderId="0" xfId="0" applyNumberFormat="1" applyFont="1" applyAlignment="1" applyProtection="1">
      <alignment horizontal="left" vertical="center"/>
      <protection locked="0"/>
    </xf>
    <xf numFmtId="0" fontId="177" fillId="0" borderId="0" xfId="0" applyFont="1" applyAlignment="1" applyProtection="1">
      <alignment horizontal="center" vertical="center"/>
      <protection locked="0"/>
    </xf>
    <xf numFmtId="0" fontId="205" fillId="0" borderId="0" xfId="0" applyFont="1" applyBorder="1" applyAlignment="1" applyProtection="1">
      <alignment vertical="center"/>
      <protection/>
    </xf>
    <xf numFmtId="0" fontId="206" fillId="0" borderId="0" xfId="0" applyFont="1" applyBorder="1" applyAlignment="1" applyProtection="1">
      <alignment vertical="center"/>
      <protection locked="0"/>
    </xf>
    <xf numFmtId="0" fontId="206" fillId="0" borderId="0" xfId="0" applyFont="1" applyBorder="1" applyAlignment="1" applyProtection="1">
      <alignment vertical="center" wrapText="1"/>
      <protection locked="0"/>
    </xf>
    <xf numFmtId="0" fontId="0" fillId="0" borderId="0" xfId="0" applyFill="1" applyAlignment="1">
      <alignment horizontal="center" vertical="center"/>
    </xf>
    <xf numFmtId="0" fontId="174" fillId="0" borderId="0" xfId="0" applyFont="1" applyFill="1" applyBorder="1" applyAlignment="1" applyProtection="1">
      <alignment horizontal="center" vertical="center"/>
      <protection/>
    </xf>
    <xf numFmtId="9" fontId="174" fillId="0" borderId="0" xfId="0" applyNumberFormat="1" applyFont="1" applyFill="1" applyBorder="1" applyAlignment="1" applyProtection="1">
      <alignment horizontal="center" vertical="center"/>
      <protection/>
    </xf>
    <xf numFmtId="0" fontId="174" fillId="0" borderId="0" xfId="0" applyNumberFormat="1" applyFont="1" applyFill="1" applyBorder="1" applyAlignment="1" applyProtection="1">
      <alignment horizontal="center" vertical="center"/>
      <protection/>
    </xf>
    <xf numFmtId="176" fontId="8" fillId="0" borderId="0" xfId="0" applyNumberFormat="1" applyFont="1" applyFill="1" applyBorder="1" applyAlignment="1" applyProtection="1">
      <alignment horizontal="center" vertical="center" wrapText="1"/>
      <protection/>
    </xf>
    <xf numFmtId="38" fontId="18" fillId="0" borderId="112" xfId="50" applyNumberFormat="1" applyFont="1" applyBorder="1" applyAlignment="1" applyProtection="1">
      <alignment horizontal="right" vertical="center" indent="1"/>
      <protection locked="0"/>
    </xf>
    <xf numFmtId="0" fontId="22" fillId="0" borderId="0" xfId="0" applyFont="1" applyFill="1" applyAlignment="1" applyProtection="1">
      <alignment horizontal="center" vertical="center"/>
      <protection locked="0"/>
    </xf>
    <xf numFmtId="0" fontId="152" fillId="0" borderId="0" xfId="0" applyFont="1" applyFill="1" applyAlignment="1" applyProtection="1">
      <alignment horizontal="center" vertical="center"/>
      <protection locked="0"/>
    </xf>
    <xf numFmtId="0" fontId="0" fillId="0" borderId="0" xfId="0" applyAlignment="1" applyProtection="1">
      <alignment horizontal="right" vertical="center"/>
      <protection locked="0"/>
    </xf>
    <xf numFmtId="0" fontId="207" fillId="0" borderId="0" xfId="0" applyFont="1" applyAlignment="1" applyProtection="1">
      <alignment vertical="center"/>
      <protection locked="0"/>
    </xf>
    <xf numFmtId="0" fontId="168" fillId="33" borderId="0" xfId="0" applyFont="1" applyFill="1" applyAlignment="1" applyProtection="1">
      <alignment vertical="center"/>
      <protection locked="0"/>
    </xf>
    <xf numFmtId="177" fontId="135" fillId="33" borderId="0" xfId="0" applyNumberFormat="1" applyFont="1" applyFill="1" applyBorder="1" applyAlignment="1" applyProtection="1">
      <alignment horizontal="center" vertical="center" shrinkToFit="1"/>
      <protection locked="0"/>
    </xf>
    <xf numFmtId="213" fontId="3" fillId="0" borderId="39" xfId="50" applyNumberFormat="1" applyFont="1" applyFill="1" applyBorder="1" applyAlignment="1" applyProtection="1">
      <alignment vertical="center" wrapText="1"/>
      <protection/>
    </xf>
    <xf numFmtId="213" fontId="3" fillId="0" borderId="53" xfId="50" applyNumberFormat="1" applyFont="1" applyFill="1" applyBorder="1" applyAlignment="1" applyProtection="1">
      <alignment vertical="center" wrapText="1"/>
      <protection/>
    </xf>
    <xf numFmtId="176" fontId="153" fillId="33" borderId="0" xfId="0" applyNumberFormat="1" applyFont="1" applyFill="1" applyBorder="1" applyAlignment="1" applyProtection="1">
      <alignment horizontal="right" vertical="center" wrapText="1"/>
      <protection locked="0"/>
    </xf>
    <xf numFmtId="0" fontId="137" fillId="33" borderId="103" xfId="0" applyFont="1" applyFill="1" applyBorder="1" applyAlignment="1" applyProtection="1">
      <alignment horizontal="center" vertical="center" wrapText="1"/>
      <protection locked="0"/>
    </xf>
    <xf numFmtId="0" fontId="137" fillId="33" borderId="34" xfId="0" applyFont="1" applyFill="1" applyBorder="1" applyAlignment="1" applyProtection="1">
      <alignment horizontal="center" vertical="center" wrapText="1"/>
      <protection locked="0"/>
    </xf>
    <xf numFmtId="0" fontId="137" fillId="33" borderId="40"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protection locked="0"/>
    </xf>
    <xf numFmtId="38" fontId="149" fillId="37" borderId="13" xfId="50" applyFont="1" applyFill="1" applyBorder="1" applyAlignment="1" applyProtection="1">
      <alignment horizontal="right" vertical="center"/>
      <protection/>
    </xf>
    <xf numFmtId="38" fontId="149" fillId="39" borderId="13" xfId="50" applyFont="1" applyFill="1" applyBorder="1" applyAlignment="1" applyProtection="1">
      <alignment horizontal="right" vertical="center"/>
      <protection/>
    </xf>
    <xf numFmtId="38" fontId="149" fillId="33" borderId="13" xfId="50" applyFont="1" applyFill="1" applyBorder="1" applyAlignment="1" applyProtection="1">
      <alignment horizontal="right" vertical="center"/>
      <protection/>
    </xf>
    <xf numFmtId="196" fontId="6" fillId="7" borderId="15" xfId="0" applyNumberFormat="1" applyFont="1" applyFill="1" applyBorder="1" applyAlignment="1" applyProtection="1">
      <alignment vertical="center" shrinkToFit="1"/>
      <protection locked="0"/>
    </xf>
    <xf numFmtId="196" fontId="6" fillId="7" borderId="35" xfId="0" applyNumberFormat="1" applyFont="1" applyFill="1" applyBorder="1" applyAlignment="1" applyProtection="1">
      <alignment vertical="center" shrinkToFit="1"/>
      <protection locked="0"/>
    </xf>
    <xf numFmtId="196" fontId="6" fillId="7" borderId="19" xfId="0" applyNumberFormat="1" applyFont="1" applyFill="1" applyBorder="1" applyAlignment="1" applyProtection="1">
      <alignment vertical="center" shrinkToFit="1"/>
      <protection locked="0"/>
    </xf>
    <xf numFmtId="0" fontId="208" fillId="33" borderId="16" xfId="0" applyFont="1" applyFill="1" applyBorder="1" applyAlignment="1" applyProtection="1">
      <alignment horizontal="center" vertical="center"/>
      <protection locked="0"/>
    </xf>
    <xf numFmtId="0" fontId="208" fillId="33" borderId="17" xfId="0" applyFont="1" applyFill="1" applyBorder="1" applyAlignment="1" applyProtection="1">
      <alignment horizontal="center" vertical="center"/>
      <protection locked="0"/>
    </xf>
    <xf numFmtId="0" fontId="163" fillId="7" borderId="15" xfId="0" applyFont="1" applyFill="1" applyBorder="1" applyAlignment="1" applyProtection="1">
      <alignment vertical="center"/>
      <protection locked="0"/>
    </xf>
    <xf numFmtId="0" fontId="163" fillId="7" borderId="35" xfId="0" applyFont="1" applyFill="1" applyBorder="1" applyAlignment="1" applyProtection="1">
      <alignment vertical="center"/>
      <protection locked="0"/>
    </xf>
    <xf numFmtId="0" fontId="163" fillId="7" borderId="19" xfId="0" applyFont="1" applyFill="1" applyBorder="1" applyAlignment="1" applyProtection="1">
      <alignment vertical="center"/>
      <protection locked="0"/>
    </xf>
    <xf numFmtId="0" fontId="163" fillId="7" borderId="15" xfId="0" applyFont="1" applyFill="1" applyBorder="1" applyAlignment="1" applyProtection="1">
      <alignment vertical="center" shrinkToFit="1"/>
      <protection locked="0"/>
    </xf>
    <xf numFmtId="0" fontId="163" fillId="7" borderId="35" xfId="0" applyFont="1" applyFill="1" applyBorder="1" applyAlignment="1" applyProtection="1">
      <alignment vertical="center" shrinkToFit="1"/>
      <protection locked="0"/>
    </xf>
    <xf numFmtId="0" fontId="163" fillId="7" borderId="19" xfId="0" applyFont="1" applyFill="1" applyBorder="1" applyAlignment="1" applyProtection="1">
      <alignment vertical="center" shrinkToFit="1"/>
      <protection locked="0"/>
    </xf>
    <xf numFmtId="0" fontId="163" fillId="33" borderId="16" xfId="0" applyFont="1" applyFill="1" applyBorder="1" applyAlignment="1" applyProtection="1">
      <alignment horizontal="center" vertical="center"/>
      <protection locked="0"/>
    </xf>
    <xf numFmtId="0" fontId="163" fillId="33" borderId="17" xfId="0" applyFont="1" applyFill="1" applyBorder="1" applyAlignment="1" applyProtection="1">
      <alignment horizontal="center" vertical="center"/>
      <protection locked="0"/>
    </xf>
    <xf numFmtId="0" fontId="163" fillId="0" borderId="0" xfId="0" applyFont="1" applyFill="1" applyBorder="1" applyAlignment="1" applyProtection="1">
      <alignment vertical="center" shrinkToFit="1"/>
      <protection locked="0"/>
    </xf>
    <xf numFmtId="0" fontId="163" fillId="0" borderId="156" xfId="0" applyFont="1" applyFill="1" applyBorder="1" applyAlignment="1" applyProtection="1">
      <alignment vertical="center" shrinkToFit="1"/>
      <protection locked="0"/>
    </xf>
    <xf numFmtId="0" fontId="163" fillId="0" borderId="157" xfId="0" applyFont="1" applyFill="1" applyBorder="1" applyAlignment="1" applyProtection="1">
      <alignment vertical="center" shrinkToFit="1"/>
      <protection locked="0"/>
    </xf>
    <xf numFmtId="0" fontId="163" fillId="0" borderId="158" xfId="0" applyFont="1" applyFill="1" applyBorder="1" applyAlignment="1" applyProtection="1">
      <alignment vertical="center" shrinkToFit="1"/>
      <protection locked="0"/>
    </xf>
    <xf numFmtId="0" fontId="163" fillId="0" borderId="159" xfId="0" applyFont="1" applyFill="1" applyBorder="1" applyAlignment="1" applyProtection="1">
      <alignment vertical="center" shrinkToFit="1"/>
      <protection locked="0"/>
    </xf>
    <xf numFmtId="0" fontId="163" fillId="0" borderId="160" xfId="0" applyFont="1" applyFill="1" applyBorder="1" applyAlignment="1" applyProtection="1">
      <alignment vertical="center" shrinkToFit="1"/>
      <protection locked="0"/>
    </xf>
    <xf numFmtId="0" fontId="163" fillId="0" borderId="161" xfId="0" applyFont="1" applyFill="1" applyBorder="1" applyAlignment="1" applyProtection="1">
      <alignment vertical="center" shrinkToFit="1"/>
      <protection locked="0"/>
    </xf>
    <xf numFmtId="0" fontId="163" fillId="0" borderId="162" xfId="0" applyFont="1" applyFill="1" applyBorder="1" applyAlignment="1" applyProtection="1">
      <alignment vertical="center" shrinkToFit="1"/>
      <protection locked="0"/>
    </xf>
    <xf numFmtId="0" fontId="163" fillId="0" borderId="163" xfId="0" applyFont="1" applyFill="1" applyBorder="1" applyAlignment="1" applyProtection="1">
      <alignment vertical="center" shrinkToFit="1"/>
      <protection locked="0"/>
    </xf>
    <xf numFmtId="0" fontId="163" fillId="0" borderId="52" xfId="0" applyFont="1" applyFill="1" applyBorder="1" applyAlignment="1" applyProtection="1">
      <alignment vertical="center" shrinkToFit="1"/>
      <protection locked="0"/>
    </xf>
    <xf numFmtId="0" fontId="163" fillId="0" borderId="164" xfId="0" applyFont="1" applyFill="1" applyBorder="1" applyAlignment="1" applyProtection="1">
      <alignment vertical="center" shrinkToFit="1"/>
      <protection locked="0"/>
    </xf>
    <xf numFmtId="0" fontId="209" fillId="0" borderId="0" xfId="0" applyFont="1" applyFill="1" applyBorder="1" applyAlignment="1" applyProtection="1">
      <alignment horizontal="center" vertical="center" wrapText="1"/>
      <protection locked="0"/>
    </xf>
    <xf numFmtId="176" fontId="13" fillId="0" borderId="0" xfId="0" applyNumberFormat="1" applyFont="1" applyFill="1" applyBorder="1" applyAlignment="1" applyProtection="1">
      <alignment horizontal="center" vertical="center" wrapText="1"/>
      <protection/>
    </xf>
    <xf numFmtId="0" fontId="178" fillId="0" borderId="0" xfId="0" applyFont="1" applyFill="1" applyBorder="1" applyAlignment="1" applyProtection="1">
      <alignment horizontal="center" vertical="center" wrapText="1"/>
      <protection locked="0"/>
    </xf>
    <xf numFmtId="0" fontId="210" fillId="0" borderId="0" xfId="0" applyFont="1" applyBorder="1" applyAlignment="1">
      <alignment horizontal="center" vertical="center"/>
    </xf>
    <xf numFmtId="0" fontId="211" fillId="0" borderId="0" xfId="0" applyFont="1" applyBorder="1" applyAlignment="1">
      <alignment vertical="center" wrapText="1" shrinkToFit="1"/>
    </xf>
    <xf numFmtId="0" fontId="212" fillId="0" borderId="0" xfId="0" applyFont="1" applyFill="1" applyBorder="1" applyAlignment="1" applyProtection="1">
      <alignment horizontal="center" vertical="center" wrapText="1"/>
      <protection locked="0"/>
    </xf>
    <xf numFmtId="0" fontId="151" fillId="0" borderId="0" xfId="0" applyFont="1" applyFill="1" applyBorder="1" applyAlignment="1" applyProtection="1">
      <alignment horizontal="center" vertical="center" wrapText="1"/>
      <protection locked="0"/>
    </xf>
    <xf numFmtId="0" fontId="209" fillId="41" borderId="0" xfId="0" applyFont="1" applyFill="1" applyBorder="1" applyAlignment="1" applyProtection="1">
      <alignment horizontal="center" vertical="center" wrapText="1"/>
      <protection locked="0"/>
    </xf>
    <xf numFmtId="176" fontId="13" fillId="0" borderId="0" xfId="0" applyNumberFormat="1" applyFont="1" applyFill="1" applyBorder="1" applyAlignment="1" applyProtection="1">
      <alignment vertical="center" wrapText="1"/>
      <protection/>
    </xf>
    <xf numFmtId="0" fontId="209" fillId="0" borderId="0" xfId="0" applyFont="1" applyBorder="1" applyAlignment="1" applyProtection="1">
      <alignment horizontal="center" vertical="center" wrapText="1"/>
      <protection locked="0"/>
    </xf>
    <xf numFmtId="0" fontId="209"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horizontal="center" vertical="center" wrapText="1"/>
      <protection/>
    </xf>
    <xf numFmtId="0" fontId="151"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vertical="center" wrapText="1"/>
      <protection locked="0"/>
    </xf>
    <xf numFmtId="0" fontId="149" fillId="0" borderId="0" xfId="0" applyFont="1" applyBorder="1" applyAlignment="1" applyProtection="1">
      <alignment horizontal="center" vertical="center"/>
      <protection locked="0"/>
    </xf>
    <xf numFmtId="176" fontId="13" fillId="33" borderId="0" xfId="0" applyNumberFormat="1" applyFont="1" applyFill="1" applyBorder="1" applyAlignment="1" applyProtection="1">
      <alignment vertical="center" wrapText="1"/>
      <protection/>
    </xf>
    <xf numFmtId="176" fontId="18" fillId="0" borderId="0" xfId="0" applyNumberFormat="1" applyFont="1" applyFill="1" applyBorder="1" applyAlignment="1" applyProtection="1">
      <alignment horizontal="center" vertical="center" wrapText="1"/>
      <protection locked="0"/>
    </xf>
    <xf numFmtId="0" fontId="168" fillId="6" borderId="13" xfId="0" applyFont="1" applyFill="1" applyBorder="1" applyAlignment="1" applyProtection="1">
      <alignment horizontal="center" vertical="center"/>
      <protection locked="0"/>
    </xf>
    <xf numFmtId="0" fontId="168" fillId="6" borderId="13" xfId="0" applyFont="1" applyFill="1" applyBorder="1" applyAlignment="1" applyProtection="1">
      <alignment horizontal="center" vertical="center" wrapText="1"/>
      <protection locked="0"/>
    </xf>
    <xf numFmtId="0" fontId="178"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horizontal="right" vertical="center" wrapText="1"/>
      <protection locked="0"/>
    </xf>
    <xf numFmtId="0" fontId="209" fillId="0" borderId="0" xfId="0" applyFont="1" applyBorder="1" applyAlignment="1" applyProtection="1">
      <alignment horizontal="right" vertical="center" wrapText="1"/>
      <protection locked="0"/>
    </xf>
    <xf numFmtId="222" fontId="149" fillId="0" borderId="109" xfId="0" applyNumberFormat="1" applyFont="1" applyFill="1" applyBorder="1" applyAlignment="1" applyProtection="1">
      <alignment horizontal="right" vertical="center"/>
      <protection/>
    </xf>
    <xf numFmtId="176" fontId="149" fillId="0" borderId="109" xfId="0" applyNumberFormat="1" applyFont="1" applyFill="1" applyBorder="1" applyAlignment="1" applyProtection="1">
      <alignment horizontal="center" vertical="center" wrapText="1"/>
      <protection/>
    </xf>
    <xf numFmtId="0" fontId="213" fillId="0" borderId="0" xfId="0" applyFont="1" applyFill="1" applyBorder="1" applyAlignment="1" applyProtection="1">
      <alignment horizontal="center" vertical="center" wrapText="1"/>
      <protection locked="0"/>
    </xf>
    <xf numFmtId="176" fontId="168" fillId="0" borderId="0" xfId="0" applyNumberFormat="1" applyFont="1" applyAlignment="1" applyProtection="1">
      <alignment horizontal="center" vertical="center"/>
      <protection locked="0"/>
    </xf>
    <xf numFmtId="0" fontId="151" fillId="0" borderId="0" xfId="0" applyFont="1" applyBorder="1" applyAlignment="1" applyProtection="1">
      <alignment horizontal="center" vertical="center" wrapText="1"/>
      <protection locked="0"/>
    </xf>
    <xf numFmtId="0" fontId="6" fillId="0" borderId="63" xfId="0" applyFont="1" applyFill="1" applyBorder="1" applyAlignment="1" applyProtection="1">
      <alignment vertical="center" wrapText="1"/>
      <protection locked="0"/>
    </xf>
    <xf numFmtId="0" fontId="6" fillId="0" borderId="141"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0" fontId="6" fillId="0" borderId="142" xfId="0" applyFont="1" applyFill="1" applyBorder="1" applyAlignment="1" applyProtection="1">
      <alignment vertical="center" wrapText="1"/>
      <protection locked="0"/>
    </xf>
    <xf numFmtId="0" fontId="14" fillId="0" borderId="13" xfId="0" applyFont="1" applyFill="1" applyBorder="1" applyAlignment="1" applyProtection="1">
      <alignment horizontal="center" vertical="center" wrapText="1"/>
      <protection locked="0"/>
    </xf>
    <xf numFmtId="0" fontId="14" fillId="0" borderId="165" xfId="0" applyFont="1" applyBorder="1" applyAlignment="1" applyProtection="1">
      <alignment horizontal="center" vertical="center" wrapText="1"/>
      <protection locked="0"/>
    </xf>
    <xf numFmtId="0" fontId="14" fillId="0" borderId="166" xfId="0" applyFont="1" applyBorder="1" applyAlignment="1" applyProtection="1">
      <alignment horizontal="center" vertical="center" wrapText="1"/>
      <protection locked="0"/>
    </xf>
    <xf numFmtId="0" fontId="6" fillId="0" borderId="62" xfId="0" applyFont="1" applyFill="1" applyBorder="1" applyAlignment="1" applyProtection="1">
      <alignment vertical="center" wrapText="1"/>
      <protection locked="0"/>
    </xf>
    <xf numFmtId="0" fontId="6" fillId="0" borderId="140" xfId="0" applyFont="1" applyFill="1" applyBorder="1" applyAlignment="1" applyProtection="1">
      <alignment vertical="center" wrapText="1"/>
      <protection locked="0"/>
    </xf>
    <xf numFmtId="0" fontId="214" fillId="0" borderId="167" xfId="0" applyFont="1" applyBorder="1" applyAlignment="1" applyProtection="1">
      <alignment horizontal="center" vertical="center"/>
      <protection locked="0"/>
    </xf>
    <xf numFmtId="0" fontId="214" fillId="0" borderId="168" xfId="0" applyFont="1" applyBorder="1" applyAlignment="1" applyProtection="1">
      <alignment horizontal="center" vertical="center"/>
      <protection locked="0"/>
    </xf>
    <xf numFmtId="0" fontId="214" fillId="0" borderId="169" xfId="0" applyFont="1" applyBorder="1" applyAlignment="1" applyProtection="1">
      <alignment horizontal="center" vertical="center"/>
      <protection locked="0"/>
    </xf>
    <xf numFmtId="0" fontId="135" fillId="36" borderId="114" xfId="0" applyFont="1" applyFill="1" applyBorder="1" applyAlignment="1" applyProtection="1">
      <alignment horizontal="center" vertical="top" wrapText="1"/>
      <protection locked="0"/>
    </xf>
    <xf numFmtId="0" fontId="4" fillId="36" borderId="114" xfId="0" applyFont="1" applyFill="1" applyBorder="1" applyAlignment="1" applyProtection="1">
      <alignment horizontal="center" vertical="top" wrapText="1"/>
      <protection locked="0"/>
    </xf>
    <xf numFmtId="0" fontId="138" fillId="36" borderId="14" xfId="0" applyFont="1" applyFill="1" applyBorder="1" applyAlignment="1" applyProtection="1">
      <alignment horizontal="center" vertical="top"/>
      <protection locked="0"/>
    </xf>
    <xf numFmtId="0" fontId="14" fillId="0" borderId="64" xfId="0" applyFont="1" applyBorder="1" applyAlignment="1" applyProtection="1">
      <alignment horizontal="center" vertical="center" wrapText="1"/>
      <protection locked="0"/>
    </xf>
    <xf numFmtId="0" fontId="14" fillId="0" borderId="142" xfId="0" applyFont="1" applyBorder="1" applyAlignment="1" applyProtection="1">
      <alignment horizontal="center" vertical="center" wrapText="1"/>
      <protection locked="0"/>
    </xf>
    <xf numFmtId="0" fontId="14" fillId="0" borderId="149" xfId="0" applyFont="1" applyBorder="1" applyAlignment="1" applyProtection="1">
      <alignment horizontal="center" vertical="center" wrapText="1"/>
      <protection locked="0"/>
    </xf>
    <xf numFmtId="0" fontId="14" fillId="0" borderId="151" xfId="0" applyFont="1" applyFill="1" applyBorder="1" applyAlignment="1" applyProtection="1">
      <alignment horizontal="center" vertical="center" wrapText="1"/>
      <protection locked="0"/>
    </xf>
    <xf numFmtId="0" fontId="14" fillId="0" borderId="142" xfId="0" applyFont="1" applyFill="1" applyBorder="1" applyAlignment="1" applyProtection="1">
      <alignment horizontal="center" vertical="center" wrapText="1"/>
      <protection locked="0"/>
    </xf>
    <xf numFmtId="0" fontId="14" fillId="0" borderId="170" xfId="0" applyFont="1" applyBorder="1" applyAlignment="1" applyProtection="1">
      <alignment horizontal="center" vertical="center" wrapText="1"/>
      <protection locked="0"/>
    </xf>
    <xf numFmtId="0" fontId="152" fillId="6" borderId="12" xfId="0" applyFont="1" applyFill="1" applyBorder="1" applyAlignment="1" applyProtection="1">
      <alignment horizontal="center" vertical="center"/>
      <protection locked="0"/>
    </xf>
    <xf numFmtId="0" fontId="152" fillId="6" borderId="114" xfId="0" applyFont="1" applyFill="1" applyBorder="1" applyAlignment="1" applyProtection="1">
      <alignment horizontal="center" vertical="center"/>
      <protection locked="0"/>
    </xf>
    <xf numFmtId="0" fontId="152" fillId="6" borderId="14" xfId="0" applyFont="1" applyFill="1" applyBorder="1" applyAlignment="1" applyProtection="1">
      <alignment horizontal="center" vertical="center"/>
      <protection locked="0"/>
    </xf>
    <xf numFmtId="0" fontId="135" fillId="38" borderId="12" xfId="0" applyFont="1" applyFill="1" applyBorder="1" applyAlignment="1" applyProtection="1">
      <alignment horizontal="center" vertical="center" textRotation="255"/>
      <protection locked="0"/>
    </xf>
    <xf numFmtId="0" fontId="135" fillId="38" borderId="114" xfId="0" applyFont="1" applyFill="1" applyBorder="1" applyAlignment="1" applyProtection="1">
      <alignment horizontal="center" vertical="center" textRotation="255"/>
      <protection locked="0"/>
    </xf>
    <xf numFmtId="0" fontId="135" fillId="38" borderId="14" xfId="0" applyFont="1" applyFill="1" applyBorder="1" applyAlignment="1" applyProtection="1">
      <alignment horizontal="center" vertical="center" textRotation="255"/>
      <protection locked="0"/>
    </xf>
    <xf numFmtId="0" fontId="157" fillId="6" borderId="167" xfId="0" applyFont="1" applyFill="1" applyBorder="1" applyAlignment="1" applyProtection="1">
      <alignment horizontal="center" vertical="center" textRotation="255"/>
      <protection locked="0"/>
    </xf>
    <xf numFmtId="0" fontId="157" fillId="6" borderId="168" xfId="0" applyFont="1" applyFill="1" applyBorder="1" applyAlignment="1" applyProtection="1">
      <alignment horizontal="center" vertical="center" textRotation="255"/>
      <protection locked="0"/>
    </xf>
    <xf numFmtId="0" fontId="157" fillId="6" borderId="169" xfId="0" applyFont="1" applyFill="1" applyBorder="1" applyAlignment="1" applyProtection="1">
      <alignment horizontal="center" vertical="center" textRotation="255"/>
      <protection locked="0"/>
    </xf>
    <xf numFmtId="0" fontId="14" fillId="0" borderId="112" xfId="0" applyFont="1" applyFill="1" applyBorder="1" applyAlignment="1" applyProtection="1">
      <alignment horizontal="center" vertical="center" wrapText="1"/>
      <protection locked="0"/>
    </xf>
    <xf numFmtId="0" fontId="14" fillId="0" borderId="109" xfId="0" applyFont="1" applyFill="1" applyBorder="1" applyAlignment="1" applyProtection="1">
      <alignment horizontal="center" vertical="center" wrapText="1"/>
      <protection locked="0"/>
    </xf>
    <xf numFmtId="0" fontId="14" fillId="0" borderId="110" xfId="0" applyFont="1" applyFill="1" applyBorder="1" applyAlignment="1" applyProtection="1">
      <alignment horizontal="center" vertical="center" wrapText="1"/>
      <protection locked="0"/>
    </xf>
    <xf numFmtId="0" fontId="14" fillId="0" borderId="112" xfId="0" applyFont="1" applyBorder="1" applyAlignment="1" applyProtection="1">
      <alignment horizontal="center" vertical="center"/>
      <protection locked="0"/>
    </xf>
    <xf numFmtId="0" fontId="14" fillId="0" borderId="110" xfId="0" applyFont="1" applyBorder="1" applyAlignment="1" applyProtection="1">
      <alignment horizontal="center" vertical="center"/>
      <protection locked="0"/>
    </xf>
    <xf numFmtId="0" fontId="14" fillId="0" borderId="112" xfId="0" applyFont="1" applyBorder="1" applyAlignment="1" applyProtection="1">
      <alignment horizontal="center" vertical="center" wrapText="1"/>
      <protection locked="0"/>
    </xf>
    <xf numFmtId="0" fontId="14" fillId="0" borderId="109" xfId="0" applyFont="1" applyBorder="1" applyAlignment="1" applyProtection="1">
      <alignment horizontal="center" vertical="center" wrapText="1"/>
      <protection locked="0"/>
    </xf>
    <xf numFmtId="0" fontId="14" fillId="0" borderId="171" xfId="0" applyFont="1" applyFill="1" applyBorder="1" applyAlignment="1" applyProtection="1">
      <alignment horizontal="center" vertical="center" wrapText="1"/>
      <protection locked="0"/>
    </xf>
    <xf numFmtId="0" fontId="14" fillId="0" borderId="110"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wrapText="1"/>
      <protection locked="0"/>
    </xf>
    <xf numFmtId="0" fontId="14" fillId="0" borderId="143" xfId="0" applyFont="1" applyBorder="1" applyAlignment="1" applyProtection="1">
      <alignment horizontal="center" vertical="center" wrapText="1"/>
      <protection locked="0"/>
    </xf>
    <xf numFmtId="0" fontId="14" fillId="0" borderId="140"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shrinkToFit="1"/>
      <protection locked="0"/>
    </xf>
    <xf numFmtId="0" fontId="14" fillId="0" borderId="140" xfId="0" applyFont="1" applyBorder="1" applyAlignment="1" applyProtection="1">
      <alignment horizontal="center" vertical="center" shrinkToFit="1"/>
      <protection locked="0"/>
    </xf>
    <xf numFmtId="0" fontId="192" fillId="0" borderId="0" xfId="0" applyFont="1" applyBorder="1" applyAlignment="1" applyProtection="1">
      <alignment horizontal="center" vertical="center"/>
      <protection locked="0"/>
    </xf>
    <xf numFmtId="213" fontId="174" fillId="0" borderId="172" xfId="0" applyNumberFormat="1" applyFont="1" applyFill="1" applyBorder="1" applyAlignment="1" applyProtection="1">
      <alignment horizontal="center" vertical="center"/>
      <protection/>
    </xf>
    <xf numFmtId="213" fontId="174" fillId="0" borderId="173" xfId="0" applyNumberFormat="1" applyFont="1" applyFill="1" applyBorder="1" applyAlignment="1" applyProtection="1">
      <alignment horizontal="center" vertical="center"/>
      <protection/>
    </xf>
    <xf numFmtId="0" fontId="182" fillId="0" borderId="0" xfId="0" applyFont="1" applyBorder="1" applyAlignment="1" applyProtection="1">
      <alignment horizontal="center" vertical="center"/>
      <protection/>
    </xf>
    <xf numFmtId="0" fontId="149" fillId="0" borderId="15" xfId="0" applyFont="1" applyBorder="1" applyAlignment="1" applyProtection="1">
      <alignment horizontal="center" vertical="center"/>
      <protection locked="0"/>
    </xf>
    <xf numFmtId="0" fontId="149" fillId="0" borderId="35" xfId="0" applyFont="1" applyBorder="1" applyAlignment="1" applyProtection="1">
      <alignment horizontal="center" vertical="center"/>
      <protection locked="0"/>
    </xf>
    <xf numFmtId="0" fontId="14" fillId="0" borderId="174" xfId="0" applyFont="1" applyBorder="1" applyAlignment="1" applyProtection="1">
      <alignment horizontal="center" vertical="center" wrapText="1"/>
      <protection locked="0"/>
    </xf>
    <xf numFmtId="0" fontId="14" fillId="0" borderId="111" xfId="0" applyFont="1" applyBorder="1" applyAlignment="1" applyProtection="1">
      <alignment horizontal="center" vertical="center" wrapText="1"/>
      <protection locked="0"/>
    </xf>
    <xf numFmtId="0" fontId="14" fillId="0" borderId="102"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9" fillId="0" borderId="175" xfId="0" applyFont="1" applyBorder="1" applyAlignment="1" applyProtection="1">
      <alignment horizontal="center" vertical="center"/>
      <protection locked="0"/>
    </xf>
    <xf numFmtId="49" fontId="14" fillId="0" borderId="176" xfId="0" applyNumberFormat="1" applyFont="1" applyBorder="1" applyAlignment="1" applyProtection="1">
      <alignment horizontal="center" vertical="center" textRotation="255" wrapText="1"/>
      <protection locked="0"/>
    </xf>
    <xf numFmtId="49" fontId="14" fillId="0" borderId="177" xfId="0" applyNumberFormat="1" applyFont="1" applyBorder="1" applyAlignment="1" applyProtection="1">
      <alignment horizontal="center" vertical="center" textRotation="255" wrapText="1"/>
      <protection locked="0"/>
    </xf>
    <xf numFmtId="49" fontId="14" fillId="0" borderId="178" xfId="0" applyNumberFormat="1" applyFont="1" applyBorder="1" applyAlignment="1" applyProtection="1">
      <alignment horizontal="center" vertical="center" textRotation="255" wrapText="1"/>
      <protection locked="0"/>
    </xf>
    <xf numFmtId="0" fontId="149" fillId="0" borderId="179" xfId="0" applyFont="1" applyBorder="1" applyAlignment="1" applyProtection="1">
      <alignment horizontal="center" vertical="center"/>
      <protection locked="0"/>
    </xf>
    <xf numFmtId="0" fontId="149" fillId="0" borderId="19" xfId="0" applyFont="1" applyBorder="1" applyAlignment="1" applyProtection="1">
      <alignment horizontal="center" vertical="center"/>
      <protection locked="0"/>
    </xf>
    <xf numFmtId="0" fontId="6" fillId="0" borderId="12" xfId="0" applyFont="1" applyFill="1" applyBorder="1" applyAlignment="1" applyProtection="1">
      <alignment horizontal="center" vertical="center" wrapText="1"/>
      <protection locked="0"/>
    </xf>
    <xf numFmtId="0" fontId="6" fillId="0" borderId="1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49" fillId="0" borderId="112" xfId="0" applyFont="1" applyBorder="1" applyAlignment="1" applyProtection="1">
      <alignment horizontal="center" vertical="center"/>
      <protection locked="0"/>
    </xf>
    <xf numFmtId="0" fontId="149" fillId="0" borderId="109" xfId="0" applyFont="1" applyBorder="1" applyAlignment="1" applyProtection="1">
      <alignment horizontal="center" vertical="center"/>
      <protection locked="0"/>
    </xf>
    <xf numFmtId="0" fontId="149" fillId="0" borderId="110" xfId="0" applyFont="1" applyBorder="1" applyAlignment="1" applyProtection="1">
      <alignment horizontal="center" vertical="center"/>
      <protection locked="0"/>
    </xf>
    <xf numFmtId="0" fontId="174" fillId="0" borderId="180" xfId="0" applyFont="1" applyFill="1" applyBorder="1" applyAlignment="1" applyProtection="1">
      <alignment horizontal="center" vertical="center"/>
      <protection/>
    </xf>
    <xf numFmtId="0" fontId="174" fillId="0" borderId="181" xfId="0" applyFont="1" applyFill="1" applyBorder="1" applyAlignment="1" applyProtection="1">
      <alignment horizontal="center" vertical="center"/>
      <protection/>
    </xf>
    <xf numFmtId="213" fontId="38" fillId="0" borderId="102" xfId="50" applyNumberFormat="1" applyFont="1" applyFill="1" applyBorder="1" applyAlignment="1" applyProtection="1">
      <alignment vertical="center" wrapText="1"/>
      <protection/>
    </xf>
    <xf numFmtId="213" fontId="38" fillId="0" borderId="36" xfId="50" applyNumberFormat="1" applyFont="1" applyFill="1" applyBorder="1" applyAlignment="1" applyProtection="1">
      <alignment vertical="center" wrapText="1"/>
      <protection/>
    </xf>
    <xf numFmtId="9" fontId="174" fillId="0" borderId="58" xfId="0" applyNumberFormat="1" applyFont="1" applyFill="1" applyBorder="1" applyAlignment="1" applyProtection="1">
      <alignment horizontal="center" vertical="center"/>
      <protection/>
    </xf>
    <xf numFmtId="9" fontId="174" fillId="0" borderId="182" xfId="0" applyNumberFormat="1" applyFont="1" applyFill="1" applyBorder="1" applyAlignment="1" applyProtection="1">
      <alignment horizontal="center" vertical="center"/>
      <protection/>
    </xf>
    <xf numFmtId="0" fontId="156" fillId="33" borderId="12" xfId="0" applyFont="1" applyFill="1" applyBorder="1" applyAlignment="1" applyProtection="1">
      <alignment horizontal="center" vertical="center"/>
      <protection/>
    </xf>
    <xf numFmtId="0" fontId="156" fillId="33" borderId="14" xfId="0" applyFont="1" applyFill="1" applyBorder="1" applyAlignment="1" applyProtection="1">
      <alignment horizontal="center" vertical="center"/>
      <protection/>
    </xf>
    <xf numFmtId="0" fontId="157" fillId="0" borderId="12" xfId="0" applyFont="1" applyBorder="1" applyAlignment="1" applyProtection="1">
      <alignment vertical="center"/>
      <protection locked="0"/>
    </xf>
    <xf numFmtId="0" fontId="174" fillId="0" borderId="58" xfId="0" applyNumberFormat="1" applyFont="1" applyFill="1" applyBorder="1" applyAlignment="1" applyProtection="1">
      <alignment horizontal="center" vertical="center"/>
      <protection/>
    </xf>
    <xf numFmtId="0" fontId="174" fillId="0" borderId="182" xfId="0" applyNumberFormat="1" applyFont="1" applyFill="1" applyBorder="1" applyAlignment="1" applyProtection="1">
      <alignment horizontal="center" vertical="center"/>
      <protection/>
    </xf>
    <xf numFmtId="213" fontId="38" fillId="33" borderId="36" xfId="50" applyNumberFormat="1" applyFont="1" applyFill="1" applyBorder="1" applyAlignment="1" applyProtection="1">
      <alignment horizontal="center" vertical="center"/>
      <protection/>
    </xf>
    <xf numFmtId="213" fontId="38" fillId="33" borderId="18" xfId="50" applyNumberFormat="1" applyFont="1" applyFill="1" applyBorder="1" applyAlignment="1" applyProtection="1">
      <alignment horizontal="center" vertical="center"/>
      <protection/>
    </xf>
    <xf numFmtId="213" fontId="39" fillId="33" borderId="12" xfId="50" applyNumberFormat="1" applyFont="1" applyFill="1" applyBorder="1" applyAlignment="1" applyProtection="1">
      <alignment horizontal="center" vertical="center"/>
      <protection/>
    </xf>
    <xf numFmtId="213" fontId="39" fillId="33" borderId="14" xfId="50" applyNumberFormat="1" applyFont="1" applyFill="1" applyBorder="1" applyAlignment="1" applyProtection="1">
      <alignment horizontal="center" vertical="center"/>
      <protection/>
    </xf>
    <xf numFmtId="213" fontId="5" fillId="33" borderId="102" xfId="50" applyNumberFormat="1" applyFont="1" applyFill="1" applyBorder="1" applyAlignment="1" applyProtection="1">
      <alignment horizontal="left" vertical="center" wrapText="1"/>
      <protection/>
    </xf>
    <xf numFmtId="213" fontId="5" fillId="33" borderId="36" xfId="50" applyNumberFormat="1" applyFont="1" applyFill="1" applyBorder="1" applyAlignment="1" applyProtection="1">
      <alignment horizontal="left" vertical="center" wrapText="1"/>
      <protection/>
    </xf>
    <xf numFmtId="0" fontId="156" fillId="33" borderId="13" xfId="0" applyFont="1" applyFill="1" applyBorder="1" applyAlignment="1" applyProtection="1">
      <alignment horizontal="center" vertical="center"/>
      <protection locked="0"/>
    </xf>
    <xf numFmtId="0" fontId="215" fillId="33" borderId="13" xfId="0" applyFont="1" applyFill="1" applyBorder="1" applyAlignment="1" applyProtection="1">
      <alignment horizontal="center" vertical="center"/>
      <protection locked="0"/>
    </xf>
    <xf numFmtId="0" fontId="215" fillId="0" borderId="13" xfId="0" applyFont="1" applyBorder="1" applyAlignment="1" applyProtection="1">
      <alignment horizontal="center" vertical="center"/>
      <protection locked="0"/>
    </xf>
    <xf numFmtId="213" fontId="38" fillId="0" borderId="36" xfId="50" applyNumberFormat="1" applyFont="1" applyFill="1" applyBorder="1" applyAlignment="1" applyProtection="1">
      <alignment horizontal="center" vertical="center" wrapText="1"/>
      <protection/>
    </xf>
    <xf numFmtId="213" fontId="38" fillId="0" borderId="18" xfId="50" applyNumberFormat="1" applyFont="1" applyFill="1" applyBorder="1" applyAlignment="1" applyProtection="1">
      <alignment horizontal="center" vertical="center" wrapText="1"/>
      <protection/>
    </xf>
    <xf numFmtId="14" fontId="153" fillId="0" borderId="15" xfId="0" applyNumberFormat="1" applyFont="1" applyFill="1" applyBorder="1" applyAlignment="1" applyProtection="1">
      <alignment horizontal="center" vertical="center" wrapText="1"/>
      <protection locked="0"/>
    </xf>
    <xf numFmtId="14" fontId="153" fillId="0" borderId="35" xfId="0" applyNumberFormat="1" applyFont="1" applyFill="1" applyBorder="1" applyAlignment="1" applyProtection="1">
      <alignment horizontal="center" vertical="center" wrapText="1"/>
      <protection locked="0"/>
    </xf>
    <xf numFmtId="14" fontId="153" fillId="0" borderId="19" xfId="0" applyNumberFormat="1" applyFont="1" applyFill="1" applyBorder="1" applyAlignment="1" applyProtection="1">
      <alignment horizontal="center" vertical="center" wrapText="1"/>
      <protection locked="0"/>
    </xf>
    <xf numFmtId="14" fontId="153" fillId="0" borderId="45" xfId="0" applyNumberFormat="1" applyFont="1" applyFill="1" applyBorder="1" applyAlignment="1" applyProtection="1">
      <alignment horizontal="center" vertical="center" wrapText="1"/>
      <protection locked="0"/>
    </xf>
    <xf numFmtId="14" fontId="153" fillId="0" borderId="37" xfId="0" applyNumberFormat="1" applyFont="1" applyFill="1" applyBorder="1" applyAlignment="1" applyProtection="1">
      <alignment horizontal="center" vertical="center" wrapText="1"/>
      <protection locked="0"/>
    </xf>
    <xf numFmtId="14" fontId="153" fillId="0" borderId="46" xfId="0" applyNumberFormat="1" applyFont="1" applyFill="1" applyBorder="1" applyAlignment="1" applyProtection="1">
      <alignment horizontal="center" vertical="center" wrapText="1"/>
      <protection locked="0"/>
    </xf>
    <xf numFmtId="0" fontId="137" fillId="0" borderId="0" xfId="0" applyFont="1" applyAlignment="1" applyProtection="1">
      <alignment horizontal="left" vertical="center"/>
      <protection locked="0"/>
    </xf>
    <xf numFmtId="0" fontId="137" fillId="0" borderId="183" xfId="0" applyFont="1" applyBorder="1" applyAlignment="1" applyProtection="1">
      <alignment horizontal="center" vertical="center" wrapText="1"/>
      <protection locked="0"/>
    </xf>
    <xf numFmtId="0" fontId="137" fillId="0" borderId="42" xfId="0" applyFont="1" applyBorder="1" applyAlignment="1" applyProtection="1">
      <alignment horizontal="center" vertical="center" wrapText="1"/>
      <protection locked="0"/>
    </xf>
    <xf numFmtId="0" fontId="137" fillId="0" borderId="95" xfId="0" applyFont="1" applyBorder="1" applyAlignment="1" applyProtection="1">
      <alignment horizontal="center" vertical="top" wrapText="1"/>
      <protection locked="0"/>
    </xf>
    <xf numFmtId="0" fontId="137" fillId="0" borderId="184" xfId="0" applyFont="1" applyBorder="1" applyAlignment="1" applyProtection="1">
      <alignment horizontal="center" vertical="top" wrapText="1"/>
      <protection locked="0"/>
    </xf>
    <xf numFmtId="0" fontId="137" fillId="0" borderId="10" xfId="0" applyFont="1" applyBorder="1" applyAlignment="1" applyProtection="1">
      <alignment horizontal="center" vertical="center" wrapText="1"/>
      <protection locked="0"/>
    </xf>
    <xf numFmtId="0" fontId="137" fillId="0" borderId="100" xfId="0" applyFont="1" applyBorder="1" applyAlignment="1" applyProtection="1">
      <alignment horizontal="center" vertical="center" wrapText="1"/>
      <protection locked="0"/>
    </xf>
    <xf numFmtId="0" fontId="137" fillId="0" borderId="185" xfId="0" applyFont="1" applyBorder="1" applyAlignment="1" applyProtection="1">
      <alignment horizontal="center" vertical="center" wrapText="1"/>
      <protection locked="0"/>
    </xf>
    <xf numFmtId="0" fontId="137" fillId="0" borderId="104" xfId="0" applyFont="1" applyBorder="1" applyAlignment="1" applyProtection="1">
      <alignment horizontal="center" vertical="center" wrapText="1"/>
      <protection locked="0"/>
    </xf>
    <xf numFmtId="14" fontId="153" fillId="0" borderId="14" xfId="0" applyNumberFormat="1" applyFont="1" applyFill="1" applyBorder="1" applyAlignment="1" applyProtection="1">
      <alignment horizontal="center" vertical="center" wrapText="1"/>
      <protection locked="0"/>
    </xf>
    <xf numFmtId="0" fontId="153" fillId="0" borderId="14" xfId="0" applyFont="1" applyFill="1" applyBorder="1" applyAlignment="1" applyProtection="1">
      <alignment horizontal="center" vertical="center" wrapText="1"/>
      <protection locked="0"/>
    </xf>
    <xf numFmtId="0" fontId="154" fillId="33" borderId="16" xfId="0" applyFont="1" applyFill="1" applyBorder="1" applyAlignment="1" applyProtection="1">
      <alignment horizontal="center" vertical="center" wrapText="1"/>
      <protection locked="0"/>
    </xf>
    <xf numFmtId="0" fontId="154" fillId="33" borderId="30" xfId="0" applyFont="1" applyFill="1" applyBorder="1" applyAlignment="1" applyProtection="1">
      <alignment horizontal="center" vertical="center" wrapText="1"/>
      <protection locked="0"/>
    </xf>
    <xf numFmtId="14" fontId="153" fillId="0" borderId="100" xfId="0" applyNumberFormat="1" applyFont="1" applyFill="1" applyBorder="1" applyAlignment="1" applyProtection="1">
      <alignment horizontal="center" vertical="center" wrapText="1"/>
      <protection locked="0"/>
    </xf>
    <xf numFmtId="0" fontId="153" fillId="0" borderId="100" xfId="0" applyFont="1" applyFill="1" applyBorder="1" applyAlignment="1" applyProtection="1">
      <alignment horizontal="center" vertical="center" wrapText="1"/>
      <protection locked="0"/>
    </xf>
    <xf numFmtId="14" fontId="153" fillId="0" borderId="13" xfId="0" applyNumberFormat="1" applyFont="1" applyFill="1" applyBorder="1" applyAlignment="1" applyProtection="1">
      <alignment horizontal="center" vertical="center" wrapText="1"/>
      <protection locked="0"/>
    </xf>
    <xf numFmtId="0" fontId="153" fillId="0" borderId="13" xfId="0" applyFont="1" applyFill="1" applyBorder="1" applyAlignment="1" applyProtection="1">
      <alignment horizontal="center" vertical="center" wrapText="1"/>
      <protection locked="0"/>
    </xf>
    <xf numFmtId="14" fontId="153" fillId="0" borderId="54" xfId="0" applyNumberFormat="1" applyFont="1" applyFill="1" applyBorder="1" applyAlignment="1" applyProtection="1">
      <alignment horizontal="center" vertical="center" wrapText="1"/>
      <protection locked="0"/>
    </xf>
    <xf numFmtId="0" fontId="153" fillId="0" borderId="54" xfId="0" applyFont="1" applyFill="1" applyBorder="1" applyAlignment="1" applyProtection="1">
      <alignment horizontal="center" vertical="center" wrapText="1"/>
      <protection locked="0"/>
    </xf>
    <xf numFmtId="0" fontId="137" fillId="0" borderId="101" xfId="0" applyFont="1" applyBorder="1" applyAlignment="1" applyProtection="1">
      <alignment horizontal="center" vertical="top" wrapText="1"/>
      <protection locked="0"/>
    </xf>
    <xf numFmtId="0" fontId="154" fillId="33" borderId="186" xfId="0" applyFont="1" applyFill="1" applyBorder="1" applyAlignment="1" applyProtection="1">
      <alignment horizontal="center" vertical="center" wrapText="1"/>
      <protection locked="0"/>
    </xf>
    <xf numFmtId="0" fontId="154" fillId="33" borderId="22" xfId="0" applyFont="1" applyFill="1" applyBorder="1" applyAlignment="1" applyProtection="1">
      <alignment horizontal="center" vertical="center" wrapText="1"/>
      <protection locked="0"/>
    </xf>
    <xf numFmtId="0" fontId="153" fillId="0" borderId="102" xfId="0" applyFont="1" applyFill="1" applyBorder="1" applyAlignment="1" applyProtection="1">
      <alignment horizontal="center" vertical="center" wrapText="1"/>
      <protection locked="0"/>
    </xf>
    <xf numFmtId="14" fontId="153" fillId="0" borderId="53" xfId="0" applyNumberFormat="1" applyFont="1" applyFill="1" applyBorder="1" applyAlignment="1" applyProtection="1">
      <alignment horizontal="center" vertical="center" wrapText="1"/>
      <protection locked="0"/>
    </xf>
    <xf numFmtId="0" fontId="153" fillId="0" borderId="53" xfId="0" applyFont="1" applyFill="1" applyBorder="1" applyAlignment="1" applyProtection="1">
      <alignment horizontal="center" vertical="center" wrapText="1"/>
      <protection locked="0"/>
    </xf>
    <xf numFmtId="0" fontId="137" fillId="0" borderId="135" xfId="0" applyFont="1" applyBorder="1" applyAlignment="1" applyProtection="1">
      <alignment horizontal="center" vertical="center" wrapText="1"/>
      <protection locked="0"/>
    </xf>
    <xf numFmtId="0" fontId="137" fillId="0" borderId="106" xfId="0" applyFont="1" applyBorder="1" applyAlignment="1" applyProtection="1">
      <alignment horizontal="center" vertical="center" wrapText="1"/>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9" fillId="0" borderId="0" xfId="0" applyFont="1" applyAlignment="1" applyProtection="1">
      <alignment horizontal="center" vertical="center"/>
      <protection locked="0"/>
    </xf>
    <xf numFmtId="0" fontId="161" fillId="0" borderId="0" xfId="0" applyFont="1" applyFill="1" applyAlignment="1" applyProtection="1">
      <alignment horizontal="left" vertical="center"/>
      <protection locked="0"/>
    </xf>
    <xf numFmtId="0" fontId="161" fillId="33" borderId="0" xfId="0" applyFont="1" applyFill="1" applyAlignment="1" applyProtection="1">
      <alignment horizontal="left" vertical="center"/>
      <protection locked="0"/>
    </xf>
    <xf numFmtId="0" fontId="161" fillId="33" borderId="187" xfId="0" applyFont="1" applyFill="1" applyBorder="1" applyAlignment="1" applyProtection="1">
      <alignment horizontal="center" vertical="center"/>
      <protection locked="0"/>
    </xf>
    <xf numFmtId="0" fontId="161" fillId="33" borderId="188" xfId="0" applyFont="1" applyFill="1" applyBorder="1" applyAlignment="1" applyProtection="1">
      <alignment horizontal="center" vertical="center"/>
      <protection locked="0"/>
    </xf>
    <xf numFmtId="0" fontId="161" fillId="33" borderId="189" xfId="0" applyFont="1" applyFill="1" applyBorder="1" applyAlignment="1" applyProtection="1">
      <alignment horizontal="center" vertical="center"/>
      <protection locked="0"/>
    </xf>
    <xf numFmtId="0" fontId="161" fillId="33" borderId="190" xfId="0" applyFont="1" applyFill="1" applyBorder="1" applyAlignment="1" applyProtection="1">
      <alignment horizontal="left" vertical="center"/>
      <protection/>
    </xf>
    <xf numFmtId="0" fontId="161" fillId="33" borderId="188" xfId="0" applyFont="1" applyFill="1" applyBorder="1" applyAlignment="1" applyProtection="1">
      <alignment horizontal="left" vertical="center"/>
      <protection/>
    </xf>
    <xf numFmtId="0" fontId="161" fillId="33" borderId="189" xfId="0" applyFont="1" applyFill="1" applyBorder="1" applyAlignment="1" applyProtection="1">
      <alignment horizontal="left" vertical="center"/>
      <protection/>
    </xf>
    <xf numFmtId="0" fontId="146" fillId="33" borderId="191" xfId="0" applyFont="1" applyFill="1" applyBorder="1" applyAlignment="1" applyProtection="1">
      <alignment horizontal="center" vertical="center" wrapText="1"/>
      <protection locked="0"/>
    </xf>
    <xf numFmtId="0" fontId="146" fillId="33" borderId="192" xfId="0" applyFont="1" applyFill="1" applyBorder="1" applyAlignment="1" applyProtection="1">
      <alignment horizontal="center" vertical="center" wrapText="1"/>
      <protection locked="0"/>
    </xf>
    <xf numFmtId="0" fontId="146" fillId="0" borderId="191" xfId="0" applyFont="1" applyFill="1" applyBorder="1" applyAlignment="1" applyProtection="1">
      <alignment horizontal="center" vertical="center" wrapText="1"/>
      <protection locked="0"/>
    </xf>
    <xf numFmtId="0" fontId="146" fillId="0" borderId="192" xfId="0" applyFont="1" applyFill="1" applyBorder="1" applyAlignment="1" applyProtection="1">
      <alignment horizontal="center" vertical="center" wrapText="1"/>
      <protection locked="0"/>
    </xf>
    <xf numFmtId="0" fontId="161" fillId="33" borderId="190" xfId="0" applyFont="1" applyFill="1" applyBorder="1" applyAlignment="1" applyProtection="1">
      <alignment horizontal="left" vertical="center" wrapText="1"/>
      <protection/>
    </xf>
    <xf numFmtId="0" fontId="161" fillId="33" borderId="188" xfId="0" applyFont="1" applyFill="1" applyBorder="1" applyAlignment="1" applyProtection="1">
      <alignment horizontal="left" vertical="center" wrapText="1"/>
      <protection/>
    </xf>
    <xf numFmtId="0" fontId="161" fillId="33" borderId="193" xfId="0" applyFont="1" applyFill="1" applyBorder="1" applyAlignment="1" applyProtection="1">
      <alignment horizontal="left" vertical="center" wrapText="1"/>
      <protection/>
    </xf>
    <xf numFmtId="0" fontId="161" fillId="33" borderId="190" xfId="0" applyFont="1" applyFill="1" applyBorder="1" applyAlignment="1" applyProtection="1">
      <alignment horizontal="center" vertical="center"/>
      <protection locked="0"/>
    </xf>
    <xf numFmtId="0" fontId="161" fillId="33" borderId="193" xfId="0" applyFont="1" applyFill="1" applyBorder="1" applyAlignment="1" applyProtection="1">
      <alignment horizontal="center" vertical="center"/>
      <protection locked="0"/>
    </xf>
    <xf numFmtId="0" fontId="164" fillId="33" borderId="194" xfId="0" applyFont="1" applyFill="1" applyBorder="1" applyAlignment="1" applyProtection="1">
      <alignment horizontal="center" wrapText="1"/>
      <protection locked="0"/>
    </xf>
    <xf numFmtId="0" fontId="164" fillId="33" borderId="195" xfId="0" applyFont="1" applyFill="1" applyBorder="1" applyAlignment="1" applyProtection="1">
      <alignment horizontal="center"/>
      <protection locked="0"/>
    </xf>
    <xf numFmtId="0" fontId="164" fillId="33" borderId="196" xfId="0" applyFont="1" applyFill="1" applyBorder="1" applyAlignment="1" applyProtection="1">
      <alignment horizontal="center"/>
      <protection locked="0"/>
    </xf>
    <xf numFmtId="0" fontId="164" fillId="33" borderId="138" xfId="0" applyFont="1" applyFill="1" applyBorder="1" applyAlignment="1" applyProtection="1">
      <alignment horizontal="center"/>
      <protection locked="0"/>
    </xf>
    <xf numFmtId="0" fontId="164" fillId="33" borderId="0" xfId="0" applyFont="1" applyFill="1" applyBorder="1" applyAlignment="1" applyProtection="1">
      <alignment horizontal="center"/>
      <protection locked="0"/>
    </xf>
    <xf numFmtId="0" fontId="164" fillId="33" borderId="197" xfId="0" applyFont="1" applyFill="1" applyBorder="1" applyAlignment="1" applyProtection="1">
      <alignment horizontal="center"/>
      <protection locked="0"/>
    </xf>
    <xf numFmtId="0" fontId="164" fillId="33" borderId="186" xfId="0" applyFont="1" applyFill="1" applyBorder="1" applyAlignment="1" applyProtection="1">
      <alignment horizontal="center"/>
      <protection locked="0"/>
    </xf>
    <xf numFmtId="0" fontId="164" fillId="33" borderId="22" xfId="0" applyFont="1" applyFill="1" applyBorder="1" applyAlignment="1" applyProtection="1">
      <alignment horizontal="center"/>
      <protection locked="0"/>
    </xf>
    <xf numFmtId="0" fontId="164" fillId="33" borderId="198" xfId="0" applyFont="1" applyFill="1" applyBorder="1" applyAlignment="1" applyProtection="1">
      <alignment horizontal="center"/>
      <protection locked="0"/>
    </xf>
    <xf numFmtId="0" fontId="161" fillId="33" borderId="16" xfId="0" applyFont="1" applyFill="1" applyBorder="1" applyAlignment="1" applyProtection="1">
      <alignment horizontal="center" vertical="center"/>
      <protection locked="0"/>
    </xf>
    <xf numFmtId="0" fontId="161" fillId="33" borderId="30" xfId="0" applyFont="1" applyFill="1" applyBorder="1" applyAlignment="1" applyProtection="1">
      <alignment horizontal="center" vertical="center"/>
      <protection locked="0"/>
    </xf>
    <xf numFmtId="0" fontId="161" fillId="33" borderId="17" xfId="0" applyFont="1" applyFill="1" applyBorder="1" applyAlignment="1" applyProtection="1">
      <alignment horizontal="center" vertical="center"/>
      <protection locked="0"/>
    </xf>
    <xf numFmtId="0" fontId="161" fillId="33" borderId="193" xfId="0" applyFont="1" applyFill="1" applyBorder="1" applyAlignment="1" applyProtection="1">
      <alignment horizontal="left" vertical="center"/>
      <protection/>
    </xf>
    <xf numFmtId="0" fontId="146" fillId="33" borderId="199" xfId="0" applyFont="1" applyFill="1" applyBorder="1" applyAlignment="1" applyProtection="1">
      <alignment horizontal="center" vertical="center" wrapText="1"/>
      <protection locked="0"/>
    </xf>
    <xf numFmtId="0" fontId="146" fillId="33" borderId="200" xfId="0" applyFont="1" applyFill="1" applyBorder="1" applyAlignment="1" applyProtection="1">
      <alignment horizontal="center" vertical="center" wrapText="1"/>
      <protection locked="0"/>
    </xf>
    <xf numFmtId="0" fontId="161" fillId="33" borderId="199" xfId="0" applyFont="1" applyFill="1" applyBorder="1" applyAlignment="1" applyProtection="1">
      <alignment horizontal="center" vertical="center"/>
      <protection locked="0"/>
    </xf>
    <xf numFmtId="0" fontId="161" fillId="33" borderId="200" xfId="0" applyFont="1" applyFill="1" applyBorder="1" applyAlignment="1" applyProtection="1">
      <alignment horizontal="center" vertical="center"/>
      <protection locked="0"/>
    </xf>
    <xf numFmtId="0" fontId="161" fillId="33" borderId="187" xfId="0" applyFont="1" applyFill="1" applyBorder="1" applyAlignment="1" applyProtection="1">
      <alignment horizontal="left" vertical="center"/>
      <protection/>
    </xf>
    <xf numFmtId="38" fontId="161" fillId="33" borderId="190" xfId="0" applyNumberFormat="1" applyFont="1" applyFill="1" applyBorder="1" applyAlignment="1" applyProtection="1">
      <alignment horizontal="left" vertical="center"/>
      <protection/>
    </xf>
    <xf numFmtId="38" fontId="161" fillId="33" borderId="188" xfId="0" applyNumberFormat="1" applyFont="1" applyFill="1" applyBorder="1" applyAlignment="1" applyProtection="1">
      <alignment horizontal="left" vertical="center"/>
      <protection/>
    </xf>
    <xf numFmtId="38" fontId="161" fillId="33" borderId="189" xfId="0" applyNumberFormat="1" applyFont="1" applyFill="1" applyBorder="1" applyAlignment="1" applyProtection="1">
      <alignment horizontal="left" vertical="center"/>
      <protection/>
    </xf>
    <xf numFmtId="38" fontId="161" fillId="33" borderId="193" xfId="0" applyNumberFormat="1" applyFont="1" applyFill="1" applyBorder="1" applyAlignment="1" applyProtection="1">
      <alignment horizontal="left" vertical="center"/>
      <protection/>
    </xf>
    <xf numFmtId="0" fontId="161" fillId="33" borderId="201" xfId="0" applyFont="1" applyFill="1" applyBorder="1" applyAlignment="1" applyProtection="1">
      <alignment horizontal="left" vertical="center"/>
      <protection/>
    </xf>
    <xf numFmtId="0" fontId="161" fillId="33" borderId="95" xfId="0" applyFont="1" applyFill="1" applyBorder="1" applyAlignment="1" applyProtection="1">
      <alignment horizontal="left" vertical="center"/>
      <protection/>
    </xf>
    <xf numFmtId="0" fontId="161" fillId="33" borderId="202" xfId="0" applyFont="1" applyFill="1" applyBorder="1" applyAlignment="1" applyProtection="1">
      <alignment horizontal="left" vertical="center"/>
      <protection/>
    </xf>
    <xf numFmtId="0" fontId="161" fillId="33" borderId="203" xfId="0" applyFont="1" applyFill="1" applyBorder="1" applyAlignment="1" applyProtection="1">
      <alignment horizontal="left" vertical="center"/>
      <protection/>
    </xf>
    <xf numFmtId="0" fontId="161" fillId="33" borderId="185" xfId="0" applyFont="1" applyFill="1" applyBorder="1" applyAlignment="1" applyProtection="1">
      <alignment horizontal="left" vertical="center"/>
      <protection/>
    </xf>
    <xf numFmtId="218" fontId="0" fillId="0" borderId="0" xfId="0" applyNumberFormat="1" applyFont="1" applyAlignment="1">
      <alignment horizontal="right"/>
    </xf>
    <xf numFmtId="0" fontId="170" fillId="0" borderId="36" xfId="0" applyFont="1" applyFill="1" applyBorder="1" applyAlignment="1" applyProtection="1">
      <alignment wrapText="1"/>
      <protection/>
    </xf>
    <xf numFmtId="0" fontId="170" fillId="0" borderId="35" xfId="0" applyFont="1" applyFill="1" applyBorder="1" applyAlignment="1" applyProtection="1">
      <alignment vertical="center"/>
      <protection/>
    </xf>
    <xf numFmtId="58" fontId="170" fillId="0" borderId="35" xfId="0" applyNumberFormat="1" applyFont="1" applyFill="1" applyBorder="1" applyAlignment="1" applyProtection="1">
      <alignment horizontal="left" vertical="center"/>
      <protection/>
    </xf>
    <xf numFmtId="0" fontId="148" fillId="0" borderId="0" xfId="0" applyFont="1" applyAlignment="1" applyProtection="1">
      <alignment horizontal="left" vertical="center"/>
      <protection locked="0"/>
    </xf>
    <xf numFmtId="0" fontId="148" fillId="0" borderId="22" xfId="0" applyFont="1"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16" fillId="0" borderId="162" xfId="0" applyFont="1" applyBorder="1" applyAlignment="1" applyProtection="1">
      <alignment horizontal="center" vertical="center"/>
      <protection locked="0"/>
    </xf>
    <xf numFmtId="0" fontId="216" fillId="0" borderId="163" xfId="0" applyFont="1" applyBorder="1" applyAlignment="1" applyProtection="1">
      <alignment horizontal="center" vertical="center"/>
      <protection locked="0"/>
    </xf>
    <xf numFmtId="0" fontId="0" fillId="7" borderId="52" xfId="0" applyFill="1" applyBorder="1" applyAlignment="1" applyProtection="1">
      <alignment horizontal="center" vertical="center"/>
      <protection locked="0"/>
    </xf>
    <xf numFmtId="0" fontId="0" fillId="7" borderId="164" xfId="0" applyFill="1" applyBorder="1" applyAlignment="1" applyProtection="1">
      <alignment horizontal="center" vertical="center"/>
      <protection locked="0"/>
    </xf>
    <xf numFmtId="0" fontId="216" fillId="0" borderId="156" xfId="0" applyFont="1" applyBorder="1" applyAlignment="1" applyProtection="1">
      <alignment horizontal="center" vertical="center"/>
      <protection locked="0"/>
    </xf>
    <xf numFmtId="0" fontId="216" fillId="0" borderId="157" xfId="0" applyFont="1" applyBorder="1" applyAlignment="1" applyProtection="1">
      <alignment horizontal="center" vertical="center"/>
      <protection locked="0"/>
    </xf>
    <xf numFmtId="0" fontId="0" fillId="7" borderId="156" xfId="0" applyFill="1" applyBorder="1" applyAlignment="1" applyProtection="1">
      <alignment horizontal="center" vertical="center"/>
      <protection locked="0"/>
    </xf>
    <xf numFmtId="0" fontId="0" fillId="7" borderId="157" xfId="0" applyFill="1" applyBorder="1" applyAlignment="1" applyProtection="1">
      <alignment horizontal="center" vertical="center"/>
      <protection locked="0"/>
    </xf>
    <xf numFmtId="0" fontId="216" fillId="0" borderId="160" xfId="0" applyFont="1" applyBorder="1" applyAlignment="1" applyProtection="1">
      <alignment horizontal="center" vertical="center"/>
      <protection locked="0"/>
    </xf>
    <xf numFmtId="0" fontId="216" fillId="0" borderId="161" xfId="0" applyFont="1" applyBorder="1" applyAlignment="1" applyProtection="1">
      <alignment horizontal="center" vertical="center"/>
      <protection locked="0"/>
    </xf>
    <xf numFmtId="0" fontId="0" fillId="7" borderId="160" xfId="0" applyFill="1" applyBorder="1" applyAlignment="1" applyProtection="1">
      <alignment horizontal="center" vertical="center"/>
      <protection locked="0"/>
    </xf>
    <xf numFmtId="0" fontId="0" fillId="7" borderId="161" xfId="0"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6" borderId="56" xfId="0" applyFont="1" applyFill="1" applyBorder="1" applyAlignment="1" applyProtection="1">
      <alignment horizontal="left" vertical="center"/>
      <protection locked="0"/>
    </xf>
    <xf numFmtId="0" fontId="0" fillId="6" borderId="35" xfId="0" applyFont="1" applyFill="1" applyBorder="1" applyAlignment="1" applyProtection="1">
      <alignment horizontal="left" vertical="center"/>
      <protection locked="0"/>
    </xf>
    <xf numFmtId="0" fontId="0" fillId="6" borderId="34" xfId="0" applyFont="1" applyFill="1" applyBorder="1" applyAlignment="1" applyProtection="1">
      <alignment horizontal="left" vertical="center"/>
      <protection locked="0"/>
    </xf>
    <xf numFmtId="0" fontId="148" fillId="0" borderId="95" xfId="0" applyFont="1" applyBorder="1" applyAlignment="1" applyProtection="1">
      <alignment vertical="center"/>
      <protection locked="0"/>
    </xf>
    <xf numFmtId="0" fontId="148" fillId="0" borderId="22" xfId="0" applyFont="1" applyBorder="1" applyAlignment="1" applyProtection="1">
      <alignment vertical="center"/>
      <protection locked="0"/>
    </xf>
    <xf numFmtId="0" fontId="136" fillId="0" borderId="162" xfId="0" applyFont="1" applyFill="1" applyBorder="1" applyAlignment="1" applyProtection="1">
      <alignment horizontal="left" vertical="center"/>
      <protection locked="0"/>
    </xf>
    <xf numFmtId="0" fontId="136" fillId="0" borderId="163" xfId="0" applyFont="1" applyFill="1" applyBorder="1" applyAlignment="1" applyProtection="1">
      <alignment horizontal="left" vertical="center"/>
      <protection locked="0"/>
    </xf>
    <xf numFmtId="0" fontId="0" fillId="4" borderId="108" xfId="0" applyFont="1" applyFill="1" applyBorder="1" applyAlignment="1" applyProtection="1">
      <alignment horizontal="left" vertical="center"/>
      <protection locked="0"/>
    </xf>
    <xf numFmtId="0" fontId="0" fillId="4" borderId="37"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136" fillId="0" borderId="156" xfId="0" applyFont="1" applyFill="1" applyBorder="1" applyAlignment="1" applyProtection="1">
      <alignment horizontal="left" vertical="center"/>
      <protection locked="0"/>
    </xf>
    <xf numFmtId="0" fontId="136" fillId="0" borderId="157" xfId="0" applyFont="1" applyFill="1" applyBorder="1" applyAlignment="1" applyProtection="1">
      <alignment horizontal="left" vertical="center"/>
      <protection locked="0"/>
    </xf>
    <xf numFmtId="0" fontId="138" fillId="0" borderId="156" xfId="0" applyFont="1" applyFill="1" applyBorder="1" applyAlignment="1" applyProtection="1">
      <alignment horizontal="left" vertical="center"/>
      <protection locked="0"/>
    </xf>
    <xf numFmtId="0" fontId="138" fillId="0" borderId="157" xfId="0" applyFont="1" applyFill="1" applyBorder="1" applyAlignment="1" applyProtection="1">
      <alignment horizontal="left" vertical="center"/>
      <protection locked="0"/>
    </xf>
    <xf numFmtId="0" fontId="138" fillId="0" borderId="156" xfId="0" applyFont="1" applyFill="1" applyBorder="1" applyAlignment="1" applyProtection="1">
      <alignment horizontal="left" vertical="center" shrinkToFit="1"/>
      <protection locked="0"/>
    </xf>
    <xf numFmtId="0" fontId="138" fillId="0" borderId="157" xfId="0" applyFont="1" applyFill="1" applyBorder="1" applyAlignment="1" applyProtection="1">
      <alignment horizontal="left" vertical="center" shrinkToFit="1"/>
      <protection locked="0"/>
    </xf>
    <xf numFmtId="38" fontId="193" fillId="33" borderId="204" xfId="50" applyFont="1" applyFill="1" applyBorder="1" applyAlignment="1" applyProtection="1">
      <alignment horizontal="center" vertical="center"/>
      <protection/>
    </xf>
    <xf numFmtId="38" fontId="193" fillId="33" borderId="205" xfId="5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38" fontId="217" fillId="0" borderId="95" xfId="50" applyFont="1" applyFill="1" applyBorder="1" applyAlignment="1" applyProtection="1">
      <alignment horizontal="right" vertical="center"/>
      <protection locked="0"/>
    </xf>
    <xf numFmtId="38" fontId="217" fillId="0" borderId="0" xfId="5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135" fillId="33" borderId="22" xfId="0" applyFont="1" applyFill="1" applyBorder="1" applyAlignment="1" applyProtection="1">
      <alignment horizontal="center" vertical="center"/>
      <protection locked="0"/>
    </xf>
    <xf numFmtId="201" fontId="193" fillId="33" borderId="201" xfId="50" applyNumberFormat="1" applyFont="1" applyFill="1" applyBorder="1" applyAlignment="1" applyProtection="1">
      <alignment horizontal="center" vertical="center"/>
      <protection/>
    </xf>
    <xf numFmtId="201" fontId="193" fillId="33" borderId="185" xfId="50" applyNumberFormat="1" applyFont="1" applyFill="1" applyBorder="1" applyAlignment="1" applyProtection="1">
      <alignment horizontal="center" vertical="center"/>
      <protection/>
    </xf>
    <xf numFmtId="201" fontId="193" fillId="33" borderId="186" xfId="50" applyNumberFormat="1" applyFont="1" applyFill="1" applyBorder="1" applyAlignment="1" applyProtection="1">
      <alignment horizontal="center" vertical="center"/>
      <protection/>
    </xf>
    <xf numFmtId="201" fontId="193" fillId="33" borderId="104" xfId="50" applyNumberFormat="1" applyFont="1" applyFill="1" applyBorder="1" applyAlignment="1" applyProtection="1">
      <alignment horizontal="center" vertical="center"/>
      <protection/>
    </xf>
    <xf numFmtId="58" fontId="218" fillId="7" borderId="0" xfId="0" applyNumberFormat="1" applyFont="1" applyFill="1" applyAlignment="1" applyProtection="1">
      <alignment horizontal="center"/>
      <protection locked="0"/>
    </xf>
    <xf numFmtId="0" fontId="218" fillId="7" borderId="0" xfId="0" applyFont="1" applyFill="1" applyAlignment="1" applyProtection="1">
      <alignment horizontal="center"/>
      <protection locked="0"/>
    </xf>
    <xf numFmtId="0" fontId="218" fillId="0" borderId="0" xfId="0" applyFont="1" applyAlignment="1" applyProtection="1">
      <alignment horizontal="left"/>
      <protection locked="0"/>
    </xf>
    <xf numFmtId="0" fontId="188" fillId="33" borderId="0" xfId="0" applyFont="1" applyFill="1" applyAlignment="1" applyProtection="1">
      <alignment horizontal="left" wrapText="1"/>
      <protection locked="0"/>
    </xf>
    <xf numFmtId="194" fontId="193" fillId="33" borderId="16" xfId="50" applyNumberFormat="1" applyFont="1" applyFill="1" applyBorder="1" applyAlignment="1" applyProtection="1">
      <alignment horizontal="center" vertical="center"/>
      <protection/>
    </xf>
    <xf numFmtId="194" fontId="193" fillId="33" borderId="17" xfId="50" applyNumberFormat="1" applyFont="1" applyFill="1" applyBorder="1" applyAlignment="1" applyProtection="1">
      <alignment horizontal="center" vertical="center"/>
      <protection/>
    </xf>
    <xf numFmtId="38" fontId="125" fillId="33" borderId="22" xfId="50" applyFont="1" applyFill="1" applyBorder="1" applyAlignment="1" applyProtection="1">
      <alignment horizontal="center" vertical="center"/>
      <protection locked="0"/>
    </xf>
    <xf numFmtId="38" fontId="7" fillId="33" borderId="206" xfId="50" applyFont="1" applyFill="1" applyBorder="1" applyAlignment="1" applyProtection="1">
      <alignment horizontal="center" vertical="center"/>
      <protection locked="0"/>
    </xf>
    <xf numFmtId="38" fontId="193" fillId="33" borderId="16" xfId="50" applyFont="1" applyFill="1" applyBorder="1" applyAlignment="1" applyProtection="1">
      <alignment horizontal="center" vertical="center"/>
      <protection/>
    </xf>
    <xf numFmtId="38" fontId="193" fillId="33" borderId="17" xfId="50" applyFont="1" applyFill="1" applyBorder="1" applyAlignment="1" applyProtection="1">
      <alignment horizontal="center" vertical="center"/>
      <protection/>
    </xf>
    <xf numFmtId="38" fontId="193" fillId="33" borderId="16" xfId="0" applyNumberFormat="1" applyFont="1" applyFill="1" applyBorder="1" applyAlignment="1" applyProtection="1">
      <alignment horizontal="center" vertical="center"/>
      <protection/>
    </xf>
    <xf numFmtId="38" fontId="193" fillId="33" borderId="17" xfId="0" applyNumberFormat="1"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03">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70C0"/>
      </font>
      <fill>
        <patternFill>
          <bgColor theme="8" tint="0.5999600291252136"/>
        </patternFill>
      </fill>
      <border/>
    </dxf>
    <dxf>
      <font>
        <b/>
        <i val="0"/>
        <color theme="3"/>
      </font>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95</xdr:row>
      <xdr:rowOff>0</xdr:rowOff>
    </xdr:from>
    <xdr:to>
      <xdr:col>7</xdr:col>
      <xdr:colOff>95250</xdr:colOff>
      <xdr:row>99</xdr:row>
      <xdr:rowOff>104775</xdr:rowOff>
    </xdr:to>
    <xdr:sp>
      <xdr:nvSpPr>
        <xdr:cNvPr id="1" name="直線矢印コネクタ 3"/>
        <xdr:cNvSpPr>
          <a:spLocks/>
        </xdr:cNvSpPr>
      </xdr:nvSpPr>
      <xdr:spPr>
        <a:xfrm flipH="1" flipV="1">
          <a:off x="3943350" y="17821275"/>
          <a:ext cx="942975" cy="866775"/>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99</xdr:row>
      <xdr:rowOff>0</xdr:rowOff>
    </xdr:from>
    <xdr:to>
      <xdr:col>7</xdr:col>
      <xdr:colOff>76200</xdr:colOff>
      <xdr:row>99</xdr:row>
      <xdr:rowOff>114300</xdr:rowOff>
    </xdr:to>
    <xdr:sp>
      <xdr:nvSpPr>
        <xdr:cNvPr id="2" name="直線矢印コネクタ 83"/>
        <xdr:cNvSpPr>
          <a:spLocks/>
        </xdr:cNvSpPr>
      </xdr:nvSpPr>
      <xdr:spPr>
        <a:xfrm flipH="1" flipV="1">
          <a:off x="3952875" y="18583275"/>
          <a:ext cx="914400" cy="11430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219075</xdr:colOff>
      <xdr:row>93</xdr:row>
      <xdr:rowOff>180975</xdr:rowOff>
    </xdr:from>
    <xdr:to>
      <xdr:col>6</xdr:col>
      <xdr:colOff>19050</xdr:colOff>
      <xdr:row>96</xdr:row>
      <xdr:rowOff>19050</xdr:rowOff>
    </xdr:to>
    <xdr:sp>
      <xdr:nvSpPr>
        <xdr:cNvPr id="3" name="角丸四角形 6"/>
        <xdr:cNvSpPr>
          <a:spLocks/>
        </xdr:cNvSpPr>
      </xdr:nvSpPr>
      <xdr:spPr>
        <a:xfrm>
          <a:off x="447675" y="17621250"/>
          <a:ext cx="3495675" cy="409575"/>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97</xdr:row>
      <xdr:rowOff>0</xdr:rowOff>
    </xdr:from>
    <xdr:to>
      <xdr:col>6</xdr:col>
      <xdr:colOff>28575</xdr:colOff>
      <xdr:row>101</xdr:row>
      <xdr:rowOff>0</xdr:rowOff>
    </xdr:to>
    <xdr:sp>
      <xdr:nvSpPr>
        <xdr:cNvPr id="4" name="角丸四角形 85"/>
        <xdr:cNvSpPr>
          <a:spLocks/>
        </xdr:cNvSpPr>
      </xdr:nvSpPr>
      <xdr:spPr>
        <a:xfrm>
          <a:off x="466725" y="18202275"/>
          <a:ext cx="3486150" cy="76200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0</xdr:colOff>
      <xdr:row>43</xdr:row>
      <xdr:rowOff>0</xdr:rowOff>
    </xdr:from>
    <xdr:to>
      <xdr:col>32</xdr:col>
      <xdr:colOff>9525</xdr:colOff>
      <xdr:row>43</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5831800" y="15344775"/>
          <a:ext cx="9525" cy="9525"/>
        </a:xfrm>
        <a:prstGeom prst="rect">
          <a:avLst/>
        </a:prstGeom>
        <a:noFill/>
        <a:ln w="9525" cmpd="sng">
          <a:noFill/>
        </a:ln>
      </xdr:spPr>
    </xdr:pic>
    <xdr:clientData/>
  </xdr:twoCellAnchor>
  <xdr:twoCellAnchor editAs="oneCell">
    <xdr:from>
      <xdr:col>32</xdr:col>
      <xdr:colOff>19050</xdr:colOff>
      <xdr:row>43</xdr:row>
      <xdr:rowOff>0</xdr:rowOff>
    </xdr:from>
    <xdr:to>
      <xdr:col>32</xdr:col>
      <xdr:colOff>28575</xdr:colOff>
      <xdr:row>43</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5850850" y="15344775"/>
          <a:ext cx="9525" cy="9525"/>
        </a:xfrm>
        <a:prstGeom prst="rect">
          <a:avLst/>
        </a:prstGeom>
        <a:noFill/>
        <a:ln w="9525" cmpd="sng">
          <a:noFill/>
        </a:ln>
      </xdr:spPr>
    </xdr:pic>
    <xdr:clientData/>
  </xdr:twoCellAnchor>
  <xdr:twoCellAnchor editAs="oneCell">
    <xdr:from>
      <xdr:col>32</xdr:col>
      <xdr:colOff>38100</xdr:colOff>
      <xdr:row>43</xdr:row>
      <xdr:rowOff>0</xdr:rowOff>
    </xdr:from>
    <xdr:to>
      <xdr:col>32</xdr:col>
      <xdr:colOff>47625</xdr:colOff>
      <xdr:row>43</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5869900" y="15344775"/>
          <a:ext cx="9525" cy="9525"/>
        </a:xfrm>
        <a:prstGeom prst="rect">
          <a:avLst/>
        </a:prstGeom>
        <a:noFill/>
        <a:ln w="9525" cmpd="sng">
          <a:noFill/>
        </a:ln>
      </xdr:spPr>
    </xdr:pic>
    <xdr:clientData/>
  </xdr:twoCellAnchor>
  <xdr:twoCellAnchor editAs="oneCell">
    <xdr:from>
      <xdr:col>31</xdr:col>
      <xdr:colOff>0</xdr:colOff>
      <xdr:row>43</xdr:row>
      <xdr:rowOff>0</xdr:rowOff>
    </xdr:from>
    <xdr:to>
      <xdr:col>31</xdr:col>
      <xdr:colOff>9525</xdr:colOff>
      <xdr:row>43</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269700" y="15344775"/>
          <a:ext cx="9525" cy="9525"/>
        </a:xfrm>
        <a:prstGeom prst="rect">
          <a:avLst/>
        </a:prstGeom>
        <a:noFill/>
        <a:ln w="9525" cmpd="sng">
          <a:noFill/>
        </a:ln>
      </xdr:spPr>
    </xdr:pic>
    <xdr:clientData/>
  </xdr:twoCellAnchor>
  <xdr:twoCellAnchor editAs="oneCell">
    <xdr:from>
      <xdr:col>31</xdr:col>
      <xdr:colOff>19050</xdr:colOff>
      <xdr:row>43</xdr:row>
      <xdr:rowOff>0</xdr:rowOff>
    </xdr:from>
    <xdr:to>
      <xdr:col>31</xdr:col>
      <xdr:colOff>28575</xdr:colOff>
      <xdr:row>43</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288750" y="15344775"/>
          <a:ext cx="9525" cy="9525"/>
        </a:xfrm>
        <a:prstGeom prst="rect">
          <a:avLst/>
        </a:prstGeom>
        <a:noFill/>
        <a:ln w="9525" cmpd="sng">
          <a:noFill/>
        </a:ln>
      </xdr:spPr>
    </xdr:pic>
    <xdr:clientData/>
  </xdr:twoCellAnchor>
  <xdr:twoCellAnchor editAs="oneCell">
    <xdr:from>
      <xdr:col>31</xdr:col>
      <xdr:colOff>38100</xdr:colOff>
      <xdr:row>43</xdr:row>
      <xdr:rowOff>0</xdr:rowOff>
    </xdr:from>
    <xdr:to>
      <xdr:col>31</xdr:col>
      <xdr:colOff>38100</xdr:colOff>
      <xdr:row>43</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307800" y="15344775"/>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iweb.or.jp/topics/monodukuri26/sanko03_henko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kuko\Desktop\&#25903;&#25588;&#23460;&#65426;&#65392;&#65433;\&#35336;&#30011;&#22793;&#26356;\20150803&#12288;&#35336;&#30011;&#22793;&#26356;(WEB&#25522;&#36617;&#29992;&#65289;&#23436;&#25104;&#12288;&#31934;&#26619;&#12398;&#12362;&#39000;&#12356;\&#20462;&#27491;0803&#21407;&#26696;(1&#26522;&#23436;&#32080;&#29256;&#9733;&#65403;&#65437;&#65420;&#65439;&#65433;)&#35336;&#30011;&#22793;&#26356;_&#27096;&#24335;3-1&#21029;&#32025;1(&#26032;&#26087;&#23550;&#27604;&#34920;)(&#65403;&#65437;&#65420;&#65439;&#6543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変更前　経費明細表チェックリスト"/>
      <sheetName val="変更後　経費明細表チェックリスト (2)"/>
      <sheetName val="補助事業計画変更経費明細 印刷用"/>
      <sheetName val="日本標準産業分類"/>
      <sheetName val="原材料費"/>
      <sheetName val="機械装置費"/>
      <sheetName val="技術導入費"/>
      <sheetName val="外注加工費"/>
      <sheetName val="委託費"/>
      <sheetName val="知的財産関連経費"/>
      <sheetName val="運搬費"/>
      <sheetName val="専門家謝金"/>
      <sheetName val="専門家旅費"/>
      <sheetName val="雑役務費"/>
      <sheetName val="対象者一覧表"/>
      <sheetName val="総労働時間算定表(1)"/>
      <sheetName val="総労働時間算定表(2)"/>
      <sheetName val="様式第６の別紙２　直接人件費支出明細書(1)"/>
      <sheetName val="様式第６の別紙２　直接人件費支出明細書(2)"/>
      <sheetName val="賃金台帳(1)"/>
      <sheetName val="賃金台帳(2)"/>
      <sheetName val="賃金台帳(3)"/>
      <sheetName val="賃金台帳(4)"/>
      <sheetName val="賃金台帳(5)"/>
      <sheetName val="賃金台帳(6)"/>
      <sheetName val="賃金台帳(7)"/>
      <sheetName val="賃金台帳(8)"/>
      <sheetName val="賃金台帳(9)"/>
      <sheetName val="賃金台帳(10)"/>
      <sheetName val="賃金台帳(11)"/>
      <sheetName val="賃金台帳(12)"/>
      <sheetName val="2309"/>
      <sheetName val="2409"/>
      <sheetName val="25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基本情報入力（使い方）"/>
      <sheetName val="様式3-1別紙1　経費明細対比表"/>
      <sheetName val="日本標準産業分類"/>
      <sheetName val="機械装置費（50万円以上）"/>
      <sheetName val="機械装置費（50万円未満）"/>
      <sheetName val="原材料費"/>
      <sheetName val="技術導入費"/>
      <sheetName val="外注加工費"/>
      <sheetName val="委託費"/>
      <sheetName val="知的財産権等関連経費"/>
      <sheetName val="運搬費"/>
      <sheetName val="専門家経費"/>
      <sheetName val="雑役務費"/>
      <sheetName val="クラウド利用費"/>
      <sheetName val="対象者一覧表"/>
      <sheetName val="総労働時間算定表(1)"/>
      <sheetName val="総労働時間算定表(2)"/>
      <sheetName val="直接人件費明細書(1)"/>
      <sheetName val="直接人件費明細書(2)"/>
      <sheetName val="賃金台帳(1)"/>
      <sheetName val="賃金台帳(2)"/>
      <sheetName val="賃金台帳(3)"/>
      <sheetName val="賃金台帳(4)"/>
      <sheetName val="賃金台帳(5)"/>
      <sheetName val="賃金台帳(6)"/>
      <sheetName val="賃金台帳(7)"/>
      <sheetName val="賃金台帳(8)"/>
      <sheetName val="賃金台帳(9)"/>
      <sheetName val="賃金台帳(10)"/>
      <sheetName val="賃金台帳(11)"/>
      <sheetName val="賃金台帳(12)"/>
    </sheetNames>
    <sheetDataSet>
      <sheetData sheetId="1">
        <row r="15">
          <cell r="C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36"/>
  <sheetViews>
    <sheetView tabSelected="1" zoomScaleSheetLayoutView="100" zoomScalePageLayoutView="0" workbookViewId="0" topLeftCell="A1">
      <selection activeCell="A1" sqref="A1"/>
    </sheetView>
  </sheetViews>
  <sheetFormatPr defaultColWidth="9.140625" defaultRowHeight="15"/>
  <cols>
    <col min="1" max="1" width="2.57421875" style="0" customWidth="1"/>
    <col min="2" max="2" width="3.7109375" style="0" customWidth="1"/>
    <col min="3" max="3" width="47.8515625" style="0" customWidth="1"/>
  </cols>
  <sheetData>
    <row r="1" spans="2:5" ht="14.25">
      <c r="B1" s="618" t="s">
        <v>806</v>
      </c>
      <c r="D1" s="347"/>
      <c r="E1" s="347"/>
    </row>
    <row r="2" spans="2:5" ht="14.25">
      <c r="B2" s="618"/>
      <c r="D2" s="347"/>
      <c r="E2" s="347"/>
    </row>
    <row r="3" spans="2:5" ht="14.25">
      <c r="B3" t="s">
        <v>855</v>
      </c>
      <c r="C3" s="347"/>
      <c r="D3" s="347"/>
      <c r="E3" s="347"/>
    </row>
    <row r="4" spans="2:3" ht="14.25" thickBot="1">
      <c r="B4" s="619" t="s">
        <v>93</v>
      </c>
      <c r="C4" s="619" t="s">
        <v>807</v>
      </c>
    </row>
    <row r="5" spans="2:3" ht="14.25" thickTop="1">
      <c r="B5" s="620">
        <v>1</v>
      </c>
      <c r="C5" s="621" t="s">
        <v>806</v>
      </c>
    </row>
    <row r="6" spans="2:3" ht="13.5">
      <c r="B6" s="622">
        <v>2</v>
      </c>
      <c r="C6" s="623" t="s">
        <v>942</v>
      </c>
    </row>
    <row r="7" spans="2:3" ht="13.5">
      <c r="B7" s="622">
        <v>3</v>
      </c>
      <c r="C7" s="623" t="s">
        <v>979</v>
      </c>
    </row>
    <row r="8" spans="2:3" ht="13.5">
      <c r="B8" s="622">
        <v>4</v>
      </c>
      <c r="C8" s="623" t="s">
        <v>808</v>
      </c>
    </row>
    <row r="9" spans="2:3" ht="13.5">
      <c r="B9" s="622">
        <v>5</v>
      </c>
      <c r="C9" s="623" t="s">
        <v>796</v>
      </c>
    </row>
    <row r="10" spans="2:3" ht="13.5">
      <c r="B10" s="622">
        <v>6</v>
      </c>
      <c r="C10" s="623" t="s">
        <v>756</v>
      </c>
    </row>
    <row r="11" spans="2:3" ht="13.5">
      <c r="B11" s="622">
        <v>7</v>
      </c>
      <c r="C11" s="623" t="s">
        <v>809</v>
      </c>
    </row>
    <row r="12" spans="2:3" ht="13.5">
      <c r="B12" s="622">
        <v>8</v>
      </c>
      <c r="C12" s="623" t="s">
        <v>53</v>
      </c>
    </row>
    <row r="13" spans="2:3" ht="13.5">
      <c r="B13" s="622">
        <v>9</v>
      </c>
      <c r="C13" s="623" t="s">
        <v>55</v>
      </c>
    </row>
    <row r="14" spans="2:3" ht="13.5">
      <c r="B14" s="622">
        <v>10</v>
      </c>
      <c r="C14" s="623" t="s">
        <v>54</v>
      </c>
    </row>
    <row r="15" spans="2:3" ht="13.5">
      <c r="B15" s="622">
        <v>11</v>
      </c>
      <c r="C15" s="623" t="s">
        <v>810</v>
      </c>
    </row>
    <row r="16" spans="2:3" ht="13.5">
      <c r="B16" s="622">
        <v>12</v>
      </c>
      <c r="C16" s="623" t="s">
        <v>56</v>
      </c>
    </row>
    <row r="17" spans="2:3" ht="13.5">
      <c r="B17" s="622">
        <v>13</v>
      </c>
      <c r="C17" s="623" t="s">
        <v>757</v>
      </c>
    </row>
    <row r="18" spans="2:3" ht="13.5">
      <c r="B18" s="622">
        <v>14</v>
      </c>
      <c r="C18" s="623" t="s">
        <v>811</v>
      </c>
    </row>
    <row r="19" spans="2:3" ht="13.5">
      <c r="B19" s="622">
        <v>15</v>
      </c>
      <c r="C19" s="623" t="s">
        <v>758</v>
      </c>
    </row>
    <row r="20" spans="2:3" ht="13.5">
      <c r="B20" s="622">
        <v>16</v>
      </c>
      <c r="C20" s="623" t="s">
        <v>812</v>
      </c>
    </row>
    <row r="21" spans="2:5" ht="13.5">
      <c r="B21" s="622">
        <v>17</v>
      </c>
      <c r="C21" s="760" t="s">
        <v>813</v>
      </c>
      <c r="D21" s="554"/>
      <c r="E21" s="554"/>
    </row>
    <row r="22" spans="2:5" ht="13.5">
      <c r="B22" s="622">
        <v>18</v>
      </c>
      <c r="C22" s="760" t="s">
        <v>814</v>
      </c>
      <c r="D22" s="554"/>
      <c r="E22" s="554"/>
    </row>
    <row r="23" spans="2:5" ht="13.5">
      <c r="B23" s="622">
        <v>19</v>
      </c>
      <c r="C23" s="760" t="s">
        <v>853</v>
      </c>
      <c r="D23" s="554"/>
      <c r="E23" s="554"/>
    </row>
    <row r="24" spans="2:5" ht="13.5">
      <c r="B24" s="622">
        <v>20</v>
      </c>
      <c r="C24" s="760" t="s">
        <v>854</v>
      </c>
      <c r="D24" s="554"/>
      <c r="E24" s="554"/>
    </row>
    <row r="25" spans="2:5" ht="13.5">
      <c r="B25" s="622">
        <v>21</v>
      </c>
      <c r="C25" s="760" t="s">
        <v>815</v>
      </c>
      <c r="D25" s="554"/>
      <c r="E25" s="554"/>
    </row>
    <row r="26" spans="2:5" ht="13.5">
      <c r="B26" s="622">
        <v>22</v>
      </c>
      <c r="C26" s="760" t="s">
        <v>816</v>
      </c>
      <c r="D26" s="554"/>
      <c r="E26" s="554"/>
    </row>
    <row r="27" spans="2:5" ht="13.5">
      <c r="B27" s="622">
        <v>23</v>
      </c>
      <c r="C27" s="760" t="s">
        <v>817</v>
      </c>
      <c r="D27" s="554"/>
      <c r="E27" s="554"/>
    </row>
    <row r="28" spans="2:5" ht="13.5">
      <c r="B28" s="622">
        <v>24</v>
      </c>
      <c r="C28" s="760" t="s">
        <v>818</v>
      </c>
      <c r="D28" s="554"/>
      <c r="E28" s="554"/>
    </row>
    <row r="29" spans="2:5" ht="13.5">
      <c r="B29" s="622">
        <v>25</v>
      </c>
      <c r="C29" s="760" t="s">
        <v>819</v>
      </c>
      <c r="D29" s="554"/>
      <c r="E29" s="554"/>
    </row>
    <row r="30" spans="2:5" ht="13.5">
      <c r="B30" s="622">
        <v>26</v>
      </c>
      <c r="C30" s="760" t="s">
        <v>820</v>
      </c>
      <c r="D30" s="554"/>
      <c r="E30" s="554"/>
    </row>
    <row r="31" spans="2:5" ht="13.5">
      <c r="B31" s="622">
        <v>27</v>
      </c>
      <c r="C31" s="760" t="s">
        <v>821</v>
      </c>
      <c r="D31" s="554"/>
      <c r="E31" s="554"/>
    </row>
    <row r="32" spans="2:3" ht="13.5">
      <c r="B32" s="622">
        <v>28</v>
      </c>
      <c r="C32" s="623" t="s">
        <v>822</v>
      </c>
    </row>
    <row r="33" spans="2:3" ht="13.5">
      <c r="B33" s="622">
        <v>29</v>
      </c>
      <c r="C33" s="623" t="s">
        <v>823</v>
      </c>
    </row>
    <row r="34" spans="2:3" ht="13.5">
      <c r="B34" s="622">
        <v>30</v>
      </c>
      <c r="C34" s="623" t="s">
        <v>824</v>
      </c>
    </row>
    <row r="35" spans="2:3" ht="13.5">
      <c r="B35" s="622">
        <v>31</v>
      </c>
      <c r="C35" s="623" t="s">
        <v>825</v>
      </c>
    </row>
    <row r="36" spans="2:3" ht="13.5">
      <c r="B36" s="622">
        <v>32</v>
      </c>
      <c r="C36" s="623" t="s">
        <v>826</v>
      </c>
    </row>
  </sheetData>
  <sheetProtection sheet="1"/>
  <hyperlinks>
    <hyperlink ref="C6" location="'基本情報入力（使い方）'!A1" display="基本情報入力（使い方）"/>
    <hyperlink ref="C7" location="'様式3-1別紙1　新旧対比表'!A1" display="様式第３－１別紙１　（新旧対比表）"/>
    <hyperlink ref="C8" location="日本標準産業分類!A1" display="日本標準産業分類"/>
    <hyperlink ref="C9" location="'機械装置費（50万円以上）'!A1" display="機械装置費（50万円以上）"/>
    <hyperlink ref="C10" location="'機械装置費（50万円未満）'!A1" display="機械装置費（50万円未満）"/>
    <hyperlink ref="C11" location="原材料費!A1" display="原材料費"/>
    <hyperlink ref="C12" location="技術導入費!A1" display="技術導入費"/>
    <hyperlink ref="C13" location="外注加工費!A1" display="外注加工費"/>
    <hyperlink ref="C14" location="委託費!A1" display="委託費"/>
    <hyperlink ref="C15" location="知的財産権等関連経費!A1" display="知的財産権等関連経費"/>
    <hyperlink ref="C16" location="運搬費!A1" display="運搬費"/>
    <hyperlink ref="C17" location="専門家経費!A1" display="専門家経費"/>
    <hyperlink ref="C18" location="雑役務費!A1" display="雑役務費"/>
    <hyperlink ref="C19" location="クラウド利用費!A1" display="クラウド利用費"/>
    <hyperlink ref="C20" location="対象者一覧表!A1" display="対象者一覧"/>
    <hyperlink ref="C21" location="'総労働時間算定表(1)'!A1" display="総労働時間算定表（１）"/>
    <hyperlink ref="C22" location="'総労働時間算定表(2)'!A1" display="総労働時間算定表（２）"/>
    <hyperlink ref="C23" location="'直接人件費明細書(1)'!A1" display="直接人件費明細書(1)"/>
    <hyperlink ref="C24" location="'直接人件費明細書(2)'!A1" display="直接人件費明細書(2)"/>
    <hyperlink ref="C25" location="'賃金台帳(1)'!A1" display="賃金台帳（１）"/>
    <hyperlink ref="C26" location="'賃金台帳(2)'!A1" display="賃金台帳（２）"/>
    <hyperlink ref="C27" location="'賃金台帳(3)'!A1" display="賃金台帳（３）"/>
    <hyperlink ref="C28" location="'賃金台帳(4)'!A1" display="賃金台帳（４）"/>
    <hyperlink ref="C29" location="'賃金台帳(5)'!A1" display="賃金台帳（５）"/>
    <hyperlink ref="C30" location="'賃金台帳(6)'!A1" display="賃金台帳（６）"/>
    <hyperlink ref="C31" location="'賃金台帳(7)'!A1" display="賃金台帳（７）"/>
    <hyperlink ref="C32" location="'賃金台帳(8)'!A1" display="賃金台帳（８）"/>
    <hyperlink ref="C33" location="'賃金台帳(9)'!A1" display="賃金台帳（９）"/>
    <hyperlink ref="C34" location="'賃金台帳(10)'!A1" display="賃金台帳（１０）"/>
    <hyperlink ref="C35" location="'賃金台帳(11)'!A1" display="賃金台帳（１１）"/>
    <hyperlink ref="C36" location="'賃金台帳(12)'!A1" display="賃金台帳（１２）"/>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67" t="s">
        <v>852</v>
      </c>
      <c r="E2" s="407"/>
      <c r="H2" s="13"/>
      <c r="P2" s="13"/>
      <c r="Q2" s="408"/>
      <c r="R2" s="408"/>
    </row>
    <row r="3" spans="1:18" ht="13.5">
      <c r="A3" s="13"/>
      <c r="E3" s="407"/>
      <c r="H3" s="13"/>
      <c r="P3" s="13"/>
      <c r="Q3" s="408"/>
      <c r="R3" s="408"/>
    </row>
    <row r="4" spans="1:6" ht="13.5" customHeight="1">
      <c r="A4" s="1050" t="s">
        <v>940</v>
      </c>
      <c r="B4" s="1050"/>
      <c r="C4" s="1050"/>
      <c r="D4" s="1050"/>
      <c r="E4" s="105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54</v>
      </c>
      <c r="N7" s="409"/>
    </row>
    <row r="8" spans="1:15" ht="13.5" customHeight="1">
      <c r="A8" s="80"/>
      <c r="B8" s="80"/>
      <c r="C8" s="80"/>
      <c r="D8" s="80"/>
      <c r="E8" s="409"/>
      <c r="F8" s="13"/>
      <c r="M8" s="8" t="s">
        <v>36</v>
      </c>
      <c r="N8" s="80"/>
      <c r="O8" s="411"/>
    </row>
    <row r="9" spans="1:14" ht="13.5" customHeight="1">
      <c r="A9" s="412"/>
      <c r="F9" s="13"/>
      <c r="I9" s="9" t="s">
        <v>660</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51" t="s">
        <v>12</v>
      </c>
      <c r="B11" s="1053" t="s">
        <v>13</v>
      </c>
      <c r="C11" s="1053"/>
      <c r="D11" s="1054"/>
      <c r="E11" s="10" t="s">
        <v>14</v>
      </c>
      <c r="F11" s="10" t="s">
        <v>15</v>
      </c>
      <c r="G11" s="10" t="s">
        <v>16</v>
      </c>
      <c r="H11" s="10" t="s">
        <v>17</v>
      </c>
      <c r="I11" s="10" t="s">
        <v>6</v>
      </c>
      <c r="J11" s="10" t="s">
        <v>6</v>
      </c>
      <c r="K11" s="1069" t="s">
        <v>18</v>
      </c>
      <c r="L11" s="1054"/>
      <c r="M11" s="404" t="s">
        <v>19</v>
      </c>
      <c r="N11" s="1055" t="s">
        <v>12</v>
      </c>
      <c r="O11" s="1057" t="s">
        <v>123</v>
      </c>
    </row>
    <row r="12" spans="1:15" ht="42" customHeight="1" thickBot="1">
      <c r="A12" s="1052"/>
      <c r="B12" s="414" t="s">
        <v>20</v>
      </c>
      <c r="C12" s="414" t="s">
        <v>21</v>
      </c>
      <c r="D12" s="415" t="s">
        <v>22</v>
      </c>
      <c r="E12" s="416"/>
      <c r="F12" s="417"/>
      <c r="G12" s="402"/>
      <c r="H12" s="402"/>
      <c r="I12" s="402" t="s">
        <v>23</v>
      </c>
      <c r="J12" s="402" t="s">
        <v>41</v>
      </c>
      <c r="K12" s="402" t="s">
        <v>24</v>
      </c>
      <c r="L12" s="11" t="s">
        <v>39</v>
      </c>
      <c r="M12" s="11" t="s">
        <v>25</v>
      </c>
      <c r="N12" s="1056"/>
      <c r="O12" s="1058"/>
    </row>
    <row r="13" spans="1:15" ht="30.75" customHeight="1">
      <c r="A13" s="85">
        <v>1</v>
      </c>
      <c r="B13" s="1067"/>
      <c r="C13" s="1068"/>
      <c r="D13" s="1068"/>
      <c r="E13" s="418" t="s">
        <v>881</v>
      </c>
      <c r="F13" s="384" t="s">
        <v>882</v>
      </c>
      <c r="G13" s="660">
        <v>1</v>
      </c>
      <c r="H13" s="650" t="s">
        <v>880</v>
      </c>
      <c r="I13" s="632">
        <f>IF(J13="","",ROUNDDOWN(J13*(1+O13/100),0))</f>
        <v>583200</v>
      </c>
      <c r="J13" s="634">
        <v>540000</v>
      </c>
      <c r="K13" s="632">
        <f>IF(L13="","",ROUNDDOWN(L13*(1+O13/100),0))</f>
        <v>583200</v>
      </c>
      <c r="L13" s="632">
        <f>IF(OR(J13="",G13=""),"",ROUNDDOWN(J13*G13,0))</f>
        <v>540000</v>
      </c>
      <c r="M13" s="642">
        <f aca="true" t="shared" si="0" ref="M13:M32">L13</f>
        <v>540000</v>
      </c>
      <c r="N13" s="430">
        <v>1</v>
      </c>
      <c r="O13" s="431">
        <v>8</v>
      </c>
    </row>
    <row r="14" spans="1:15" ht="30.75" customHeight="1">
      <c r="A14" s="86">
        <v>2</v>
      </c>
      <c r="B14" s="1059"/>
      <c r="C14" s="1060"/>
      <c r="D14" s="1060"/>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42">
        <f t="shared" si="0"/>
      </c>
      <c r="N14" s="432">
        <v>2</v>
      </c>
      <c r="O14" s="431">
        <v>8</v>
      </c>
    </row>
    <row r="15" spans="1:15" ht="30.75" customHeight="1">
      <c r="A15" s="86">
        <v>3</v>
      </c>
      <c r="B15" s="1059"/>
      <c r="C15" s="1060"/>
      <c r="D15" s="1060"/>
      <c r="E15" s="419"/>
      <c r="F15" s="385"/>
      <c r="G15" s="660"/>
      <c r="H15" s="650"/>
      <c r="I15" s="632">
        <f t="shared" si="1"/>
      </c>
      <c r="J15" s="634"/>
      <c r="K15" s="632">
        <f t="shared" si="2"/>
      </c>
      <c r="L15" s="632">
        <f t="shared" si="3"/>
      </c>
      <c r="M15" s="642">
        <f t="shared" si="0"/>
      </c>
      <c r="N15" s="430">
        <v>3</v>
      </c>
      <c r="O15" s="431">
        <v>8</v>
      </c>
    </row>
    <row r="16" spans="1:15" ht="30.75" customHeight="1">
      <c r="A16" s="86">
        <v>4</v>
      </c>
      <c r="B16" s="1059"/>
      <c r="C16" s="1060"/>
      <c r="D16" s="1060"/>
      <c r="E16" s="419"/>
      <c r="F16" s="385"/>
      <c r="G16" s="660"/>
      <c r="H16" s="650"/>
      <c r="I16" s="632">
        <f t="shared" si="1"/>
      </c>
      <c r="J16" s="634"/>
      <c r="K16" s="632">
        <f t="shared" si="2"/>
      </c>
      <c r="L16" s="632">
        <f t="shared" si="3"/>
      </c>
      <c r="M16" s="642">
        <f t="shared" si="0"/>
      </c>
      <c r="N16" s="432">
        <v>4</v>
      </c>
      <c r="O16" s="431">
        <v>8</v>
      </c>
    </row>
    <row r="17" spans="1:15" ht="30.75" customHeight="1">
      <c r="A17" s="86">
        <v>5</v>
      </c>
      <c r="B17" s="1059"/>
      <c r="C17" s="1060"/>
      <c r="D17" s="1060"/>
      <c r="E17" s="419"/>
      <c r="F17" s="385"/>
      <c r="G17" s="660"/>
      <c r="H17" s="650"/>
      <c r="I17" s="632">
        <f t="shared" si="1"/>
      </c>
      <c r="J17" s="634"/>
      <c r="K17" s="632">
        <f t="shared" si="2"/>
      </c>
      <c r="L17" s="632">
        <f t="shared" si="3"/>
      </c>
      <c r="M17" s="642">
        <f t="shared" si="0"/>
      </c>
      <c r="N17" s="430">
        <v>5</v>
      </c>
      <c r="O17" s="431">
        <v>8</v>
      </c>
    </row>
    <row r="18" spans="1:15" ht="30.75" customHeight="1">
      <c r="A18" s="86">
        <v>6</v>
      </c>
      <c r="B18" s="1059"/>
      <c r="C18" s="1060"/>
      <c r="D18" s="1060"/>
      <c r="E18" s="419"/>
      <c r="F18" s="385"/>
      <c r="G18" s="660"/>
      <c r="H18" s="650"/>
      <c r="I18" s="632">
        <f t="shared" si="1"/>
      </c>
      <c r="J18" s="634"/>
      <c r="K18" s="632">
        <f t="shared" si="2"/>
      </c>
      <c r="L18" s="632">
        <f t="shared" si="3"/>
      </c>
      <c r="M18" s="642">
        <f t="shared" si="0"/>
      </c>
      <c r="N18" s="432">
        <v>6</v>
      </c>
      <c r="O18" s="431">
        <v>8</v>
      </c>
    </row>
    <row r="19" spans="1:15" ht="30.75" customHeight="1">
      <c r="A19" s="86">
        <v>7</v>
      </c>
      <c r="B19" s="1059"/>
      <c r="C19" s="1060"/>
      <c r="D19" s="1060"/>
      <c r="E19" s="419"/>
      <c r="F19" s="420"/>
      <c r="G19" s="660"/>
      <c r="H19" s="650"/>
      <c r="I19" s="632">
        <f t="shared" si="1"/>
      </c>
      <c r="J19" s="634"/>
      <c r="K19" s="632">
        <f t="shared" si="2"/>
      </c>
      <c r="L19" s="632">
        <f t="shared" si="3"/>
      </c>
      <c r="M19" s="642">
        <f t="shared" si="0"/>
      </c>
      <c r="N19" s="430">
        <v>7</v>
      </c>
      <c r="O19" s="431">
        <v>8</v>
      </c>
    </row>
    <row r="20" spans="1:15" ht="30.75" customHeight="1">
      <c r="A20" s="86">
        <v>8</v>
      </c>
      <c r="B20" s="1059"/>
      <c r="C20" s="1060"/>
      <c r="D20" s="1060"/>
      <c r="E20" s="419"/>
      <c r="F20" s="385"/>
      <c r="G20" s="660"/>
      <c r="H20" s="650"/>
      <c r="I20" s="632">
        <f t="shared" si="1"/>
      </c>
      <c r="J20" s="634"/>
      <c r="K20" s="632">
        <f t="shared" si="2"/>
      </c>
      <c r="L20" s="632">
        <f t="shared" si="3"/>
      </c>
      <c r="M20" s="642">
        <f t="shared" si="0"/>
      </c>
      <c r="N20" s="432">
        <v>8</v>
      </c>
      <c r="O20" s="431">
        <v>8</v>
      </c>
    </row>
    <row r="21" spans="1:15" ht="30.75" customHeight="1">
      <c r="A21" s="86">
        <v>9</v>
      </c>
      <c r="B21" s="1059"/>
      <c r="C21" s="1060"/>
      <c r="D21" s="1060"/>
      <c r="E21" s="419"/>
      <c r="F21" s="385"/>
      <c r="G21" s="660"/>
      <c r="H21" s="650"/>
      <c r="I21" s="632">
        <f t="shared" si="1"/>
      </c>
      <c r="J21" s="634"/>
      <c r="K21" s="632">
        <f t="shared" si="2"/>
      </c>
      <c r="L21" s="632">
        <f t="shared" si="3"/>
      </c>
      <c r="M21" s="642">
        <f t="shared" si="0"/>
      </c>
      <c r="N21" s="430">
        <v>9</v>
      </c>
      <c r="O21" s="431">
        <v>8</v>
      </c>
    </row>
    <row r="22" spans="1:15" ht="30.75" customHeight="1">
      <c r="A22" s="86">
        <v>10</v>
      </c>
      <c r="B22" s="1059"/>
      <c r="C22" s="1060"/>
      <c r="D22" s="1060"/>
      <c r="E22" s="419"/>
      <c r="F22" s="385"/>
      <c r="G22" s="660"/>
      <c r="H22" s="650"/>
      <c r="I22" s="632">
        <f t="shared" si="1"/>
      </c>
      <c r="J22" s="634"/>
      <c r="K22" s="632">
        <f t="shared" si="2"/>
      </c>
      <c r="L22" s="632">
        <f t="shared" si="3"/>
      </c>
      <c r="M22" s="642">
        <f t="shared" si="0"/>
      </c>
      <c r="N22" s="432">
        <v>10</v>
      </c>
      <c r="O22" s="431">
        <v>8</v>
      </c>
    </row>
    <row r="23" spans="1:15" ht="30.75" customHeight="1">
      <c r="A23" s="86">
        <v>11</v>
      </c>
      <c r="B23" s="1059"/>
      <c r="C23" s="1060"/>
      <c r="D23" s="1060"/>
      <c r="E23" s="419"/>
      <c r="F23" s="385"/>
      <c r="G23" s="660"/>
      <c r="H23" s="650"/>
      <c r="I23" s="632">
        <f t="shared" si="1"/>
      </c>
      <c r="J23" s="634"/>
      <c r="K23" s="632">
        <f t="shared" si="2"/>
      </c>
      <c r="L23" s="632">
        <f t="shared" si="3"/>
      </c>
      <c r="M23" s="642">
        <f t="shared" si="0"/>
      </c>
      <c r="N23" s="430">
        <v>11</v>
      </c>
      <c r="O23" s="431">
        <v>8</v>
      </c>
    </row>
    <row r="24" spans="1:15" ht="30.75" customHeight="1">
      <c r="A24" s="86">
        <v>12</v>
      </c>
      <c r="B24" s="1059"/>
      <c r="C24" s="1060"/>
      <c r="D24" s="1060"/>
      <c r="E24" s="419"/>
      <c r="F24" s="385"/>
      <c r="G24" s="660"/>
      <c r="H24" s="650"/>
      <c r="I24" s="632">
        <f t="shared" si="1"/>
      </c>
      <c r="J24" s="634"/>
      <c r="K24" s="632">
        <f t="shared" si="2"/>
      </c>
      <c r="L24" s="632">
        <f t="shared" si="3"/>
      </c>
      <c r="M24" s="642">
        <f t="shared" si="0"/>
      </c>
      <c r="N24" s="432">
        <v>12</v>
      </c>
      <c r="O24" s="431">
        <v>8</v>
      </c>
    </row>
    <row r="25" spans="1:15" ht="30.75" customHeight="1">
      <c r="A25" s="86">
        <v>13</v>
      </c>
      <c r="B25" s="1059"/>
      <c r="C25" s="1060"/>
      <c r="D25" s="1060"/>
      <c r="E25" s="419"/>
      <c r="F25" s="385"/>
      <c r="G25" s="660"/>
      <c r="H25" s="650"/>
      <c r="I25" s="632">
        <f t="shared" si="1"/>
      </c>
      <c r="J25" s="634"/>
      <c r="K25" s="632">
        <f t="shared" si="2"/>
      </c>
      <c r="L25" s="632">
        <f t="shared" si="3"/>
      </c>
      <c r="M25" s="642">
        <f t="shared" si="0"/>
      </c>
      <c r="N25" s="430">
        <v>13</v>
      </c>
      <c r="O25" s="431">
        <v>8</v>
      </c>
    </row>
    <row r="26" spans="1:15" ht="30.75" customHeight="1">
      <c r="A26" s="86">
        <v>14</v>
      </c>
      <c r="B26" s="1059"/>
      <c r="C26" s="1060"/>
      <c r="D26" s="1060"/>
      <c r="E26" s="421"/>
      <c r="F26" s="385"/>
      <c r="G26" s="660"/>
      <c r="H26" s="650"/>
      <c r="I26" s="632">
        <f t="shared" si="1"/>
      </c>
      <c r="J26" s="634"/>
      <c r="K26" s="632">
        <f t="shared" si="2"/>
      </c>
      <c r="L26" s="632">
        <f t="shared" si="3"/>
      </c>
      <c r="M26" s="642">
        <f t="shared" si="0"/>
      </c>
      <c r="N26" s="432">
        <v>14</v>
      </c>
      <c r="O26" s="431">
        <v>8</v>
      </c>
    </row>
    <row r="27" spans="1:15" ht="30.75" customHeight="1">
      <c r="A27" s="86">
        <v>15</v>
      </c>
      <c r="B27" s="1059"/>
      <c r="C27" s="1060"/>
      <c r="D27" s="1060"/>
      <c r="E27" s="421"/>
      <c r="F27" s="385"/>
      <c r="G27" s="660"/>
      <c r="H27" s="650"/>
      <c r="I27" s="632">
        <f t="shared" si="1"/>
      </c>
      <c r="J27" s="634"/>
      <c r="K27" s="632">
        <f t="shared" si="2"/>
      </c>
      <c r="L27" s="632">
        <f t="shared" si="3"/>
      </c>
      <c r="M27" s="642">
        <f t="shared" si="0"/>
      </c>
      <c r="N27" s="430">
        <v>15</v>
      </c>
      <c r="O27" s="431">
        <v>8</v>
      </c>
    </row>
    <row r="28" spans="1:15" ht="30.75" customHeight="1">
      <c r="A28" s="86">
        <v>16</v>
      </c>
      <c r="B28" s="1059"/>
      <c r="C28" s="1060"/>
      <c r="D28" s="1060"/>
      <c r="E28" s="419"/>
      <c r="F28" s="385"/>
      <c r="G28" s="660"/>
      <c r="H28" s="650"/>
      <c r="I28" s="632">
        <f t="shared" si="1"/>
      </c>
      <c r="J28" s="634"/>
      <c r="K28" s="632">
        <f t="shared" si="2"/>
      </c>
      <c r="L28" s="632">
        <f t="shared" si="3"/>
      </c>
      <c r="M28" s="642">
        <f t="shared" si="0"/>
      </c>
      <c r="N28" s="432">
        <v>16</v>
      </c>
      <c r="O28" s="431">
        <v>8</v>
      </c>
    </row>
    <row r="29" spans="1:15" ht="30.75" customHeight="1">
      <c r="A29" s="86">
        <v>17</v>
      </c>
      <c r="B29" s="1059"/>
      <c r="C29" s="1060"/>
      <c r="D29" s="1060"/>
      <c r="E29" s="419"/>
      <c r="F29" s="385"/>
      <c r="G29" s="660"/>
      <c r="H29" s="650"/>
      <c r="I29" s="632">
        <f t="shared" si="1"/>
      </c>
      <c r="J29" s="634"/>
      <c r="K29" s="632">
        <f t="shared" si="2"/>
      </c>
      <c r="L29" s="632">
        <f t="shared" si="3"/>
      </c>
      <c r="M29" s="642">
        <f t="shared" si="0"/>
      </c>
      <c r="N29" s="430">
        <v>17</v>
      </c>
      <c r="O29" s="431">
        <v>8</v>
      </c>
    </row>
    <row r="30" spans="1:15" ht="30.75" customHeight="1">
      <c r="A30" s="86">
        <v>18</v>
      </c>
      <c r="B30" s="1059"/>
      <c r="C30" s="1060"/>
      <c r="D30" s="1060"/>
      <c r="E30" s="419"/>
      <c r="F30" s="385"/>
      <c r="G30" s="660"/>
      <c r="H30" s="650"/>
      <c r="I30" s="632">
        <f t="shared" si="1"/>
      </c>
      <c r="J30" s="634"/>
      <c r="K30" s="632">
        <f t="shared" si="2"/>
      </c>
      <c r="L30" s="632">
        <f t="shared" si="3"/>
      </c>
      <c r="M30" s="642">
        <f t="shared" si="0"/>
      </c>
      <c r="N30" s="432">
        <v>18</v>
      </c>
      <c r="O30" s="431">
        <v>8</v>
      </c>
    </row>
    <row r="31" spans="1:15" ht="30.75" customHeight="1">
      <c r="A31" s="86">
        <v>19</v>
      </c>
      <c r="B31" s="1059"/>
      <c r="C31" s="1060"/>
      <c r="D31" s="1060"/>
      <c r="E31" s="421"/>
      <c r="F31" s="385"/>
      <c r="G31" s="660"/>
      <c r="H31" s="650"/>
      <c r="I31" s="632">
        <f t="shared" si="1"/>
      </c>
      <c r="J31" s="634"/>
      <c r="K31" s="632">
        <f t="shared" si="2"/>
      </c>
      <c r="L31" s="632">
        <f t="shared" si="3"/>
      </c>
      <c r="M31" s="642">
        <f t="shared" si="0"/>
      </c>
      <c r="N31" s="430">
        <v>19</v>
      </c>
      <c r="O31" s="431">
        <v>8</v>
      </c>
    </row>
    <row r="32" spans="1:15" ht="30.75" customHeight="1" thickBot="1">
      <c r="A32" s="159">
        <v>20</v>
      </c>
      <c r="B32" s="1063"/>
      <c r="C32" s="1064"/>
      <c r="D32" s="1064"/>
      <c r="E32" s="422"/>
      <c r="F32" s="389"/>
      <c r="G32" s="663"/>
      <c r="H32" s="652"/>
      <c r="I32" s="635">
        <f t="shared" si="1"/>
      </c>
      <c r="J32" s="636"/>
      <c r="K32" s="635">
        <f t="shared" si="2"/>
      </c>
      <c r="L32" s="635">
        <f t="shared" si="3"/>
      </c>
      <c r="M32" s="643">
        <f t="shared" si="0"/>
      </c>
      <c r="N32" s="433">
        <v>20</v>
      </c>
      <c r="O32" s="434">
        <v>8</v>
      </c>
    </row>
    <row r="33" spans="1:14" ht="21" customHeight="1" thickBot="1">
      <c r="A33" s="1070" t="s">
        <v>26</v>
      </c>
      <c r="B33" s="1071"/>
      <c r="C33" s="1071"/>
      <c r="D33" s="1071"/>
      <c r="E33" s="1071"/>
      <c r="F33" s="1071"/>
      <c r="G33" s="1071"/>
      <c r="H33" s="1071"/>
      <c r="I33" s="1071"/>
      <c r="J33" s="403"/>
      <c r="K33" s="631">
        <f>SUM(K13:K32)</f>
        <v>583200</v>
      </c>
      <c r="L33" s="631">
        <f>SUM(L13:L32)</f>
        <v>540000</v>
      </c>
      <c r="M33" s="625">
        <f>SUM(M13:M32)</f>
        <v>540000</v>
      </c>
      <c r="N33" s="83"/>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6"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1.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67" t="s">
        <v>852</v>
      </c>
      <c r="E2" s="407"/>
      <c r="H2" s="13"/>
      <c r="P2" s="13"/>
      <c r="Q2" s="408"/>
      <c r="R2" s="408"/>
    </row>
    <row r="3" spans="1:18" ht="13.5">
      <c r="A3" s="13"/>
      <c r="E3" s="407"/>
      <c r="H3" s="13"/>
      <c r="P3" s="13"/>
      <c r="Q3" s="408"/>
      <c r="R3" s="408"/>
    </row>
    <row r="4" spans="1:6" ht="13.5" customHeight="1">
      <c r="A4" s="1050" t="s">
        <v>940</v>
      </c>
      <c r="B4" s="1050"/>
      <c r="C4" s="1050"/>
      <c r="D4" s="1050"/>
      <c r="E4" s="105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156</v>
      </c>
      <c r="N7" s="80"/>
    </row>
    <row r="8" spans="1:15" ht="13.5" customHeight="1">
      <c r="A8" s="80"/>
      <c r="B8" s="80"/>
      <c r="C8" s="80"/>
      <c r="D8" s="80"/>
      <c r="E8" s="409"/>
      <c r="F8" s="13"/>
      <c r="M8" s="8" t="s">
        <v>36</v>
      </c>
      <c r="N8" s="80"/>
      <c r="O8" s="411"/>
    </row>
    <row r="9" spans="1:14" ht="13.5" customHeight="1">
      <c r="A9" s="412"/>
      <c r="F9" s="13"/>
      <c r="I9" s="9" t="s">
        <v>660</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51" t="s">
        <v>12</v>
      </c>
      <c r="B11" s="1053" t="s">
        <v>13</v>
      </c>
      <c r="C11" s="1053"/>
      <c r="D11" s="1054"/>
      <c r="E11" s="10" t="s">
        <v>14</v>
      </c>
      <c r="F11" s="10" t="s">
        <v>15</v>
      </c>
      <c r="G11" s="10" t="s">
        <v>16</v>
      </c>
      <c r="H11" s="10" t="s">
        <v>17</v>
      </c>
      <c r="I11" s="10" t="s">
        <v>6</v>
      </c>
      <c r="J11" s="10" t="s">
        <v>6</v>
      </c>
      <c r="K11" s="1069" t="s">
        <v>18</v>
      </c>
      <c r="L11" s="1054"/>
      <c r="M11" s="404" t="s">
        <v>19</v>
      </c>
      <c r="N11" s="1055" t="s">
        <v>12</v>
      </c>
      <c r="O11" s="1057" t="s">
        <v>123</v>
      </c>
    </row>
    <row r="12" spans="1:15" ht="42" customHeight="1" thickBot="1">
      <c r="A12" s="1052"/>
      <c r="B12" s="414" t="s">
        <v>20</v>
      </c>
      <c r="C12" s="414" t="s">
        <v>21</v>
      </c>
      <c r="D12" s="415" t="s">
        <v>22</v>
      </c>
      <c r="E12" s="416"/>
      <c r="F12" s="417"/>
      <c r="G12" s="402"/>
      <c r="H12" s="402"/>
      <c r="I12" s="402" t="s">
        <v>23</v>
      </c>
      <c r="J12" s="402" t="s">
        <v>41</v>
      </c>
      <c r="K12" s="402" t="s">
        <v>24</v>
      </c>
      <c r="L12" s="11" t="s">
        <v>39</v>
      </c>
      <c r="M12" s="11" t="s">
        <v>25</v>
      </c>
      <c r="N12" s="1056"/>
      <c r="O12" s="1058"/>
    </row>
    <row r="13" spans="1:15" ht="30.75" customHeight="1">
      <c r="A13" s="85">
        <v>1</v>
      </c>
      <c r="B13" s="1059"/>
      <c r="C13" s="1060"/>
      <c r="D13" s="1072"/>
      <c r="E13" s="383" t="s">
        <v>883</v>
      </c>
      <c r="F13" s="383" t="s">
        <v>884</v>
      </c>
      <c r="G13" s="664">
        <v>1</v>
      </c>
      <c r="H13" s="656" t="s">
        <v>920</v>
      </c>
      <c r="I13" s="640">
        <f>IF(J13="","",ROUNDDOWN(J13*(1+O13/100),0))</f>
        <v>648000</v>
      </c>
      <c r="J13" s="641">
        <v>600000</v>
      </c>
      <c r="K13" s="640">
        <f>IF(L13="","",ROUNDDOWN(L13*(1+O13/100),0))</f>
        <v>648000</v>
      </c>
      <c r="L13" s="640">
        <f>IF(OR(J13="",G13=""),"",ROUNDDOWN(J13*G13,0))</f>
        <v>600000</v>
      </c>
      <c r="M13" s="640">
        <f aca="true" t="shared" si="0" ref="M13:M32">L13</f>
        <v>600000</v>
      </c>
      <c r="N13" s="81">
        <v>1</v>
      </c>
      <c r="O13" s="438">
        <v>8</v>
      </c>
    </row>
    <row r="14" spans="1:15" ht="30.75" customHeight="1">
      <c r="A14" s="86">
        <v>2</v>
      </c>
      <c r="B14" s="1059"/>
      <c r="C14" s="1060"/>
      <c r="D14" s="1072"/>
      <c r="E14" s="385"/>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9"/>
      <c r="C15" s="1060"/>
      <c r="D15" s="1072"/>
      <c r="E15" s="385"/>
      <c r="F15" s="385"/>
      <c r="G15" s="660"/>
      <c r="H15" s="650"/>
      <c r="I15" s="632">
        <f t="shared" si="1"/>
      </c>
      <c r="J15" s="634"/>
      <c r="K15" s="632">
        <f t="shared" si="2"/>
      </c>
      <c r="L15" s="632">
        <f t="shared" si="3"/>
      </c>
      <c r="M15" s="633">
        <f t="shared" si="0"/>
      </c>
      <c r="N15" s="81">
        <v>3</v>
      </c>
      <c r="O15" s="438">
        <v>8</v>
      </c>
    </row>
    <row r="16" spans="1:15" ht="30.75" customHeight="1">
      <c r="A16" s="86">
        <v>4</v>
      </c>
      <c r="B16" s="1059"/>
      <c r="C16" s="1060"/>
      <c r="D16" s="1072"/>
      <c r="E16" s="385"/>
      <c r="F16" s="385"/>
      <c r="G16" s="660"/>
      <c r="H16" s="650"/>
      <c r="I16" s="632">
        <f t="shared" si="1"/>
      </c>
      <c r="J16" s="634"/>
      <c r="K16" s="632">
        <f t="shared" si="2"/>
      </c>
      <c r="L16" s="632">
        <f t="shared" si="3"/>
      </c>
      <c r="M16" s="633">
        <f t="shared" si="0"/>
      </c>
      <c r="N16" s="82">
        <v>4</v>
      </c>
      <c r="O16" s="438">
        <v>8</v>
      </c>
    </row>
    <row r="17" spans="1:15" ht="30.75" customHeight="1">
      <c r="A17" s="86">
        <v>5</v>
      </c>
      <c r="B17" s="1059"/>
      <c r="C17" s="1060"/>
      <c r="D17" s="1072"/>
      <c r="E17" s="385"/>
      <c r="F17" s="385"/>
      <c r="G17" s="660"/>
      <c r="H17" s="650"/>
      <c r="I17" s="632">
        <f t="shared" si="1"/>
      </c>
      <c r="J17" s="634"/>
      <c r="K17" s="632">
        <f t="shared" si="2"/>
      </c>
      <c r="L17" s="632">
        <f t="shared" si="3"/>
      </c>
      <c r="M17" s="633">
        <f t="shared" si="0"/>
      </c>
      <c r="N17" s="81">
        <v>5</v>
      </c>
      <c r="O17" s="438">
        <v>8</v>
      </c>
    </row>
    <row r="18" spans="1:15" ht="30.75" customHeight="1">
      <c r="A18" s="86">
        <v>6</v>
      </c>
      <c r="B18" s="1059"/>
      <c r="C18" s="1060"/>
      <c r="D18" s="1072"/>
      <c r="E18" s="385"/>
      <c r="F18" s="385"/>
      <c r="G18" s="660"/>
      <c r="H18" s="650"/>
      <c r="I18" s="632">
        <f t="shared" si="1"/>
      </c>
      <c r="J18" s="634"/>
      <c r="K18" s="632">
        <f t="shared" si="2"/>
      </c>
      <c r="L18" s="632">
        <f t="shared" si="3"/>
      </c>
      <c r="M18" s="633">
        <f t="shared" si="0"/>
      </c>
      <c r="N18" s="82">
        <v>6</v>
      </c>
      <c r="O18" s="438">
        <v>8</v>
      </c>
    </row>
    <row r="19" spans="1:15" ht="30.75" customHeight="1">
      <c r="A19" s="86">
        <v>7</v>
      </c>
      <c r="B19" s="1059"/>
      <c r="C19" s="1060"/>
      <c r="D19" s="1072"/>
      <c r="E19" s="385"/>
      <c r="F19" s="420"/>
      <c r="G19" s="660"/>
      <c r="H19" s="650"/>
      <c r="I19" s="632">
        <f t="shared" si="1"/>
      </c>
      <c r="J19" s="634"/>
      <c r="K19" s="632">
        <f t="shared" si="2"/>
      </c>
      <c r="L19" s="632">
        <f t="shared" si="3"/>
      </c>
      <c r="M19" s="633">
        <f t="shared" si="0"/>
      </c>
      <c r="N19" s="81">
        <v>7</v>
      </c>
      <c r="O19" s="438">
        <v>8</v>
      </c>
    </row>
    <row r="20" spans="1:15" ht="30.75" customHeight="1">
      <c r="A20" s="86">
        <v>8</v>
      </c>
      <c r="B20" s="1059"/>
      <c r="C20" s="1060"/>
      <c r="D20" s="1072"/>
      <c r="E20" s="385"/>
      <c r="F20" s="385"/>
      <c r="G20" s="660"/>
      <c r="H20" s="650"/>
      <c r="I20" s="632">
        <f t="shared" si="1"/>
      </c>
      <c r="J20" s="634"/>
      <c r="K20" s="632">
        <f t="shared" si="2"/>
      </c>
      <c r="L20" s="632">
        <f t="shared" si="3"/>
      </c>
      <c r="M20" s="633">
        <f t="shared" si="0"/>
      </c>
      <c r="N20" s="82">
        <v>8</v>
      </c>
      <c r="O20" s="438">
        <v>8</v>
      </c>
    </row>
    <row r="21" spans="1:15" ht="30.75" customHeight="1">
      <c r="A21" s="86">
        <v>9</v>
      </c>
      <c r="B21" s="1059"/>
      <c r="C21" s="1060"/>
      <c r="D21" s="1072"/>
      <c r="E21" s="385"/>
      <c r="F21" s="385"/>
      <c r="G21" s="660"/>
      <c r="H21" s="650"/>
      <c r="I21" s="632">
        <f t="shared" si="1"/>
      </c>
      <c r="J21" s="634"/>
      <c r="K21" s="632">
        <f t="shared" si="2"/>
      </c>
      <c r="L21" s="632">
        <f t="shared" si="3"/>
      </c>
      <c r="M21" s="633">
        <f t="shared" si="0"/>
      </c>
      <c r="N21" s="81">
        <v>9</v>
      </c>
      <c r="O21" s="438">
        <v>8</v>
      </c>
    </row>
    <row r="22" spans="1:15" ht="30.75" customHeight="1">
      <c r="A22" s="86">
        <v>10</v>
      </c>
      <c r="B22" s="1059"/>
      <c r="C22" s="1060"/>
      <c r="D22" s="1072"/>
      <c r="E22" s="385"/>
      <c r="F22" s="385"/>
      <c r="G22" s="660"/>
      <c r="H22" s="650"/>
      <c r="I22" s="632">
        <f t="shared" si="1"/>
      </c>
      <c r="J22" s="634"/>
      <c r="K22" s="632">
        <f t="shared" si="2"/>
      </c>
      <c r="L22" s="632">
        <f t="shared" si="3"/>
      </c>
      <c r="M22" s="633">
        <f t="shared" si="0"/>
      </c>
      <c r="N22" s="82">
        <v>10</v>
      </c>
      <c r="O22" s="438">
        <v>8</v>
      </c>
    </row>
    <row r="23" spans="1:15" ht="30.75" customHeight="1">
      <c r="A23" s="86">
        <v>11</v>
      </c>
      <c r="B23" s="1059"/>
      <c r="C23" s="1060"/>
      <c r="D23" s="1072"/>
      <c r="E23" s="385"/>
      <c r="F23" s="385"/>
      <c r="G23" s="660"/>
      <c r="H23" s="650"/>
      <c r="I23" s="632">
        <f t="shared" si="1"/>
      </c>
      <c r="J23" s="634"/>
      <c r="K23" s="632">
        <f t="shared" si="2"/>
      </c>
      <c r="L23" s="632">
        <f t="shared" si="3"/>
      </c>
      <c r="M23" s="633">
        <f t="shared" si="0"/>
      </c>
      <c r="N23" s="81">
        <v>11</v>
      </c>
      <c r="O23" s="438">
        <v>8</v>
      </c>
    </row>
    <row r="24" spans="1:15" ht="30.75" customHeight="1">
      <c r="A24" s="86">
        <v>12</v>
      </c>
      <c r="B24" s="1059"/>
      <c r="C24" s="1060"/>
      <c r="D24" s="1072"/>
      <c r="E24" s="385"/>
      <c r="F24" s="385"/>
      <c r="G24" s="660"/>
      <c r="H24" s="650"/>
      <c r="I24" s="632">
        <f t="shared" si="1"/>
      </c>
      <c r="J24" s="634"/>
      <c r="K24" s="632">
        <f t="shared" si="2"/>
      </c>
      <c r="L24" s="632">
        <f t="shared" si="3"/>
      </c>
      <c r="M24" s="633">
        <f t="shared" si="0"/>
      </c>
      <c r="N24" s="82">
        <v>12</v>
      </c>
      <c r="O24" s="438">
        <v>8</v>
      </c>
    </row>
    <row r="25" spans="1:15" ht="30.75" customHeight="1">
      <c r="A25" s="86">
        <v>13</v>
      </c>
      <c r="B25" s="1059"/>
      <c r="C25" s="1060"/>
      <c r="D25" s="1072"/>
      <c r="E25" s="385"/>
      <c r="F25" s="385"/>
      <c r="G25" s="660"/>
      <c r="H25" s="650"/>
      <c r="I25" s="632">
        <f t="shared" si="1"/>
      </c>
      <c r="J25" s="634"/>
      <c r="K25" s="632">
        <f t="shared" si="2"/>
      </c>
      <c r="L25" s="632">
        <f t="shared" si="3"/>
      </c>
      <c r="M25" s="633">
        <f t="shared" si="0"/>
      </c>
      <c r="N25" s="81">
        <v>13</v>
      </c>
      <c r="O25" s="438">
        <v>8</v>
      </c>
    </row>
    <row r="26" spans="1:15" ht="30.75" customHeight="1">
      <c r="A26" s="86">
        <v>14</v>
      </c>
      <c r="B26" s="1059"/>
      <c r="C26" s="1060"/>
      <c r="D26" s="1072"/>
      <c r="E26" s="429"/>
      <c r="F26" s="385"/>
      <c r="G26" s="660"/>
      <c r="H26" s="650"/>
      <c r="I26" s="632">
        <f t="shared" si="1"/>
      </c>
      <c r="J26" s="634"/>
      <c r="K26" s="632">
        <f t="shared" si="2"/>
      </c>
      <c r="L26" s="632">
        <f t="shared" si="3"/>
      </c>
      <c r="M26" s="633">
        <f t="shared" si="0"/>
      </c>
      <c r="N26" s="82">
        <v>14</v>
      </c>
      <c r="O26" s="438">
        <v>8</v>
      </c>
    </row>
    <row r="27" spans="1:15" ht="30.75" customHeight="1">
      <c r="A27" s="86">
        <v>15</v>
      </c>
      <c r="B27" s="1059"/>
      <c r="C27" s="1060"/>
      <c r="D27" s="1072"/>
      <c r="E27" s="429"/>
      <c r="F27" s="385"/>
      <c r="G27" s="660"/>
      <c r="H27" s="650"/>
      <c r="I27" s="632">
        <f t="shared" si="1"/>
      </c>
      <c r="J27" s="634"/>
      <c r="K27" s="632">
        <f t="shared" si="2"/>
      </c>
      <c r="L27" s="632">
        <f t="shared" si="3"/>
      </c>
      <c r="M27" s="633">
        <f t="shared" si="0"/>
      </c>
      <c r="N27" s="81">
        <v>15</v>
      </c>
      <c r="O27" s="438">
        <v>8</v>
      </c>
    </row>
    <row r="28" spans="1:15" ht="30.75" customHeight="1">
      <c r="A28" s="86">
        <v>16</v>
      </c>
      <c r="B28" s="1059"/>
      <c r="C28" s="1060"/>
      <c r="D28" s="1072"/>
      <c r="E28" s="385"/>
      <c r="F28" s="385"/>
      <c r="G28" s="660"/>
      <c r="H28" s="650"/>
      <c r="I28" s="632">
        <f t="shared" si="1"/>
      </c>
      <c r="J28" s="634"/>
      <c r="K28" s="632">
        <f t="shared" si="2"/>
      </c>
      <c r="L28" s="632">
        <f t="shared" si="3"/>
      </c>
      <c r="M28" s="633">
        <f t="shared" si="0"/>
      </c>
      <c r="N28" s="82">
        <v>16</v>
      </c>
      <c r="O28" s="438">
        <v>8</v>
      </c>
    </row>
    <row r="29" spans="1:15" ht="30.75" customHeight="1">
      <c r="A29" s="86">
        <v>17</v>
      </c>
      <c r="B29" s="1059"/>
      <c r="C29" s="1060"/>
      <c r="D29" s="1072"/>
      <c r="E29" s="385"/>
      <c r="F29" s="385"/>
      <c r="G29" s="660"/>
      <c r="H29" s="650"/>
      <c r="I29" s="632">
        <f t="shared" si="1"/>
      </c>
      <c r="J29" s="634"/>
      <c r="K29" s="632">
        <f t="shared" si="2"/>
      </c>
      <c r="L29" s="632">
        <f t="shared" si="3"/>
      </c>
      <c r="M29" s="633">
        <f t="shared" si="0"/>
      </c>
      <c r="N29" s="81">
        <v>17</v>
      </c>
      <c r="O29" s="438">
        <v>8</v>
      </c>
    </row>
    <row r="30" spans="1:15" ht="30.75" customHeight="1">
      <c r="A30" s="86">
        <v>18</v>
      </c>
      <c r="B30" s="1059"/>
      <c r="C30" s="1060"/>
      <c r="D30" s="1072"/>
      <c r="E30" s="385"/>
      <c r="F30" s="385"/>
      <c r="G30" s="660"/>
      <c r="H30" s="650"/>
      <c r="I30" s="632">
        <f t="shared" si="1"/>
      </c>
      <c r="J30" s="634"/>
      <c r="K30" s="632">
        <f t="shared" si="2"/>
      </c>
      <c r="L30" s="632">
        <f t="shared" si="3"/>
      </c>
      <c r="M30" s="633">
        <f t="shared" si="0"/>
      </c>
      <c r="N30" s="82">
        <v>18</v>
      </c>
      <c r="O30" s="438">
        <v>8</v>
      </c>
    </row>
    <row r="31" spans="1:15" ht="30.75" customHeight="1">
      <c r="A31" s="86">
        <v>19</v>
      </c>
      <c r="B31" s="1059"/>
      <c r="C31" s="1060"/>
      <c r="D31" s="1072"/>
      <c r="E31" s="429"/>
      <c r="F31" s="385"/>
      <c r="G31" s="660"/>
      <c r="H31" s="650"/>
      <c r="I31" s="632">
        <f t="shared" si="1"/>
      </c>
      <c r="J31" s="634"/>
      <c r="K31" s="632">
        <f t="shared" si="2"/>
      </c>
      <c r="L31" s="632">
        <f t="shared" si="3"/>
      </c>
      <c r="M31" s="633">
        <f t="shared" si="0"/>
      </c>
      <c r="N31" s="81">
        <v>19</v>
      </c>
      <c r="O31" s="438">
        <v>8</v>
      </c>
    </row>
    <row r="32" spans="1:15" ht="30.75" customHeight="1" thickBot="1">
      <c r="A32" s="159">
        <v>20</v>
      </c>
      <c r="B32" s="1073"/>
      <c r="C32" s="1074"/>
      <c r="D32" s="1074"/>
      <c r="E32" s="422"/>
      <c r="F32" s="389"/>
      <c r="G32" s="663"/>
      <c r="H32" s="652"/>
      <c r="I32" s="635">
        <f t="shared" si="1"/>
      </c>
      <c r="J32" s="636"/>
      <c r="K32" s="635">
        <f t="shared" si="2"/>
      </c>
      <c r="L32" s="635">
        <f t="shared" si="3"/>
      </c>
      <c r="M32" s="637">
        <f t="shared" si="0"/>
      </c>
      <c r="N32" s="160">
        <v>20</v>
      </c>
      <c r="O32" s="439">
        <v>8</v>
      </c>
    </row>
    <row r="33" spans="1:14" ht="21" customHeight="1" thickBot="1">
      <c r="A33" s="1070" t="s">
        <v>26</v>
      </c>
      <c r="B33" s="1071"/>
      <c r="C33" s="1071"/>
      <c r="D33" s="1071"/>
      <c r="E33" s="1071"/>
      <c r="F33" s="1071"/>
      <c r="G33" s="1071"/>
      <c r="H33" s="1071"/>
      <c r="I33" s="1071"/>
      <c r="J33" s="403"/>
      <c r="K33" s="638">
        <f>SUM(K13:K32)</f>
        <v>648000</v>
      </c>
      <c r="L33" s="624">
        <f>SUM(L13:L32)</f>
        <v>600000</v>
      </c>
      <c r="M33" s="639">
        <f>SUM(M13:M32)</f>
        <v>600000</v>
      </c>
      <c r="N33" s="83"/>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K33:M33 I13:M32"/>
    <dataValidation allowBlank="1" showInputMessage="1" showErrorMessage="1" imeMode="hiragana" sqref="L9"/>
  </dataValidations>
  <hyperlinks>
    <hyperlink ref="B2" location="'基本情報入力（使い方）'!A47"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67" t="s">
        <v>852</v>
      </c>
      <c r="E2" s="407"/>
      <c r="H2" s="13"/>
      <c r="P2" s="13"/>
      <c r="Q2" s="408"/>
      <c r="R2" s="408"/>
    </row>
    <row r="3" spans="1:18" ht="13.5">
      <c r="A3" s="13"/>
      <c r="E3" s="407"/>
      <c r="H3" s="13"/>
      <c r="P3" s="13"/>
      <c r="Q3" s="408"/>
      <c r="R3" s="408"/>
    </row>
    <row r="4" spans="1:6" ht="13.5" customHeight="1">
      <c r="A4" s="1050" t="s">
        <v>940</v>
      </c>
      <c r="B4" s="1050"/>
      <c r="C4" s="1050"/>
      <c r="D4" s="1050"/>
      <c r="E4" s="105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56</v>
      </c>
      <c r="N7" s="80"/>
    </row>
    <row r="8" spans="1:15" ht="13.5" customHeight="1">
      <c r="A8" s="80"/>
      <c r="B8" s="80"/>
      <c r="C8" s="80"/>
      <c r="D8" s="80"/>
      <c r="E8" s="409"/>
      <c r="F8" s="13"/>
      <c r="M8" s="8" t="s">
        <v>36</v>
      </c>
      <c r="N8" s="80"/>
      <c r="O8" s="411"/>
    </row>
    <row r="9" spans="1:14" ht="13.5" customHeight="1">
      <c r="A9" s="412"/>
      <c r="F9" s="13"/>
      <c r="I9" s="9" t="s">
        <v>660</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51" t="s">
        <v>12</v>
      </c>
      <c r="B11" s="1053" t="s">
        <v>13</v>
      </c>
      <c r="C11" s="1053"/>
      <c r="D11" s="1054"/>
      <c r="E11" s="10" t="s">
        <v>14</v>
      </c>
      <c r="F11" s="10" t="s">
        <v>15</v>
      </c>
      <c r="G11" s="10" t="s">
        <v>16</v>
      </c>
      <c r="H11" s="10" t="s">
        <v>17</v>
      </c>
      <c r="I11" s="10" t="s">
        <v>6</v>
      </c>
      <c r="J11" s="10" t="s">
        <v>6</v>
      </c>
      <c r="K11" s="1069" t="s">
        <v>18</v>
      </c>
      <c r="L11" s="1054"/>
      <c r="M11" s="10" t="s">
        <v>19</v>
      </c>
      <c r="N11" s="1055" t="s">
        <v>12</v>
      </c>
      <c r="O11" s="1057" t="s">
        <v>123</v>
      </c>
    </row>
    <row r="12" spans="1:15" ht="42" customHeight="1" thickBot="1">
      <c r="A12" s="1052"/>
      <c r="B12" s="414" t="s">
        <v>20</v>
      </c>
      <c r="C12" s="414" t="s">
        <v>21</v>
      </c>
      <c r="D12" s="415" t="s">
        <v>22</v>
      </c>
      <c r="E12" s="416"/>
      <c r="F12" s="417"/>
      <c r="G12" s="402"/>
      <c r="H12" s="402"/>
      <c r="I12" s="402" t="s">
        <v>23</v>
      </c>
      <c r="J12" s="402" t="s">
        <v>41</v>
      </c>
      <c r="K12" s="402" t="s">
        <v>24</v>
      </c>
      <c r="L12" s="11" t="s">
        <v>39</v>
      </c>
      <c r="M12" s="402" t="s">
        <v>25</v>
      </c>
      <c r="N12" s="1056"/>
      <c r="O12" s="1058"/>
    </row>
    <row r="13" spans="1:15" ht="30.75" customHeight="1">
      <c r="A13" s="85">
        <v>1</v>
      </c>
      <c r="B13" s="1067"/>
      <c r="C13" s="1068"/>
      <c r="D13" s="1068"/>
      <c r="E13" s="418" t="s">
        <v>885</v>
      </c>
      <c r="F13" s="384" t="s">
        <v>886</v>
      </c>
      <c r="G13" s="660">
        <v>130</v>
      </c>
      <c r="H13" s="650" t="s">
        <v>887</v>
      </c>
      <c r="I13" s="632">
        <f>IF(J13="","",ROUNDDOWN(J13*(1+O13/100),0))</f>
        <v>6372</v>
      </c>
      <c r="J13" s="627">
        <v>5900</v>
      </c>
      <c r="K13" s="632">
        <f>IF(L13="","",ROUNDDOWN(L13*(1+O13/100),0))</f>
        <v>828360</v>
      </c>
      <c r="L13" s="632">
        <f>IF(OR(J13="",G13=""),"",ROUNDDOWN(J13*G13,0))</f>
        <v>767000</v>
      </c>
      <c r="M13" s="633">
        <f aca="true" t="shared" si="0" ref="M13:M32">L13</f>
        <v>767000</v>
      </c>
      <c r="N13" s="81">
        <v>1</v>
      </c>
      <c r="O13" s="438">
        <v>8</v>
      </c>
    </row>
    <row r="14" spans="1:15" ht="30.75" customHeight="1">
      <c r="A14" s="86">
        <v>2</v>
      </c>
      <c r="B14" s="1059"/>
      <c r="C14" s="1060"/>
      <c r="D14" s="1060"/>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9"/>
      <c r="C15" s="1060"/>
      <c r="D15" s="1060"/>
      <c r="E15" s="419"/>
      <c r="F15" s="385"/>
      <c r="G15" s="660"/>
      <c r="H15" s="650"/>
      <c r="I15" s="632">
        <f t="shared" si="1"/>
      </c>
      <c r="J15" s="634"/>
      <c r="K15" s="632">
        <f t="shared" si="2"/>
      </c>
      <c r="L15" s="632">
        <f t="shared" si="3"/>
      </c>
      <c r="M15" s="633">
        <f t="shared" si="0"/>
      </c>
      <c r="N15" s="81">
        <v>3</v>
      </c>
      <c r="O15" s="438">
        <v>8</v>
      </c>
    </row>
    <row r="16" spans="1:15" ht="30.75" customHeight="1">
      <c r="A16" s="86">
        <v>4</v>
      </c>
      <c r="B16" s="1059"/>
      <c r="C16" s="1060"/>
      <c r="D16" s="1060"/>
      <c r="E16" s="419"/>
      <c r="F16" s="385"/>
      <c r="G16" s="660"/>
      <c r="H16" s="650"/>
      <c r="I16" s="632">
        <f t="shared" si="1"/>
      </c>
      <c r="J16" s="634"/>
      <c r="K16" s="632">
        <f t="shared" si="2"/>
      </c>
      <c r="L16" s="632">
        <f t="shared" si="3"/>
      </c>
      <c r="M16" s="633">
        <f t="shared" si="0"/>
      </c>
      <c r="N16" s="82">
        <v>4</v>
      </c>
      <c r="O16" s="438">
        <v>8</v>
      </c>
    </row>
    <row r="17" spans="1:15" ht="30.75" customHeight="1">
      <c r="A17" s="86">
        <v>5</v>
      </c>
      <c r="B17" s="1059"/>
      <c r="C17" s="1060"/>
      <c r="D17" s="1060"/>
      <c r="E17" s="419"/>
      <c r="F17" s="385"/>
      <c r="G17" s="660"/>
      <c r="H17" s="650"/>
      <c r="I17" s="632">
        <f t="shared" si="1"/>
      </c>
      <c r="J17" s="634"/>
      <c r="K17" s="632">
        <f t="shared" si="2"/>
      </c>
      <c r="L17" s="632">
        <f t="shared" si="3"/>
      </c>
      <c r="M17" s="633">
        <f t="shared" si="0"/>
      </c>
      <c r="N17" s="81">
        <v>5</v>
      </c>
      <c r="O17" s="438">
        <v>8</v>
      </c>
    </row>
    <row r="18" spans="1:15" ht="30.75" customHeight="1">
      <c r="A18" s="86">
        <v>6</v>
      </c>
      <c r="B18" s="1059"/>
      <c r="C18" s="1060"/>
      <c r="D18" s="1060"/>
      <c r="E18" s="419"/>
      <c r="F18" s="385"/>
      <c r="G18" s="660"/>
      <c r="H18" s="650"/>
      <c r="I18" s="632">
        <f t="shared" si="1"/>
      </c>
      <c r="J18" s="634"/>
      <c r="K18" s="632">
        <f t="shared" si="2"/>
      </c>
      <c r="L18" s="632">
        <f t="shared" si="3"/>
      </c>
      <c r="M18" s="633">
        <f t="shared" si="0"/>
      </c>
      <c r="N18" s="82">
        <v>6</v>
      </c>
      <c r="O18" s="438">
        <v>8</v>
      </c>
    </row>
    <row r="19" spans="1:15" ht="30.75" customHeight="1">
      <c r="A19" s="86">
        <v>7</v>
      </c>
      <c r="B19" s="1059"/>
      <c r="C19" s="1060"/>
      <c r="D19" s="1060"/>
      <c r="E19" s="419"/>
      <c r="F19" s="420"/>
      <c r="G19" s="660"/>
      <c r="H19" s="650"/>
      <c r="I19" s="632">
        <f t="shared" si="1"/>
      </c>
      <c r="J19" s="634"/>
      <c r="K19" s="632">
        <f t="shared" si="2"/>
      </c>
      <c r="L19" s="632">
        <f t="shared" si="3"/>
      </c>
      <c r="M19" s="633">
        <f t="shared" si="0"/>
      </c>
      <c r="N19" s="81">
        <v>7</v>
      </c>
      <c r="O19" s="438">
        <v>8</v>
      </c>
    </row>
    <row r="20" spans="1:15" ht="30.75" customHeight="1">
      <c r="A20" s="86">
        <v>8</v>
      </c>
      <c r="B20" s="1059"/>
      <c r="C20" s="1060"/>
      <c r="D20" s="1060"/>
      <c r="E20" s="419"/>
      <c r="F20" s="385"/>
      <c r="G20" s="660"/>
      <c r="H20" s="650"/>
      <c r="I20" s="632">
        <f t="shared" si="1"/>
      </c>
      <c r="J20" s="634"/>
      <c r="K20" s="632">
        <f t="shared" si="2"/>
      </c>
      <c r="L20" s="632">
        <f t="shared" si="3"/>
      </c>
      <c r="M20" s="633">
        <f t="shared" si="0"/>
      </c>
      <c r="N20" s="82">
        <v>8</v>
      </c>
      <c r="O20" s="438">
        <v>8</v>
      </c>
    </row>
    <row r="21" spans="1:15" ht="30.75" customHeight="1">
      <c r="A21" s="86">
        <v>9</v>
      </c>
      <c r="B21" s="1059"/>
      <c r="C21" s="1060"/>
      <c r="D21" s="1060"/>
      <c r="E21" s="419"/>
      <c r="F21" s="385"/>
      <c r="G21" s="660"/>
      <c r="H21" s="650"/>
      <c r="I21" s="632">
        <f t="shared" si="1"/>
      </c>
      <c r="J21" s="634"/>
      <c r="K21" s="632">
        <f t="shared" si="2"/>
      </c>
      <c r="L21" s="632">
        <f t="shared" si="3"/>
      </c>
      <c r="M21" s="633">
        <f t="shared" si="0"/>
      </c>
      <c r="N21" s="81">
        <v>9</v>
      </c>
      <c r="O21" s="438">
        <v>8</v>
      </c>
    </row>
    <row r="22" spans="1:15" ht="30.75" customHeight="1">
      <c r="A22" s="86">
        <v>10</v>
      </c>
      <c r="B22" s="1059"/>
      <c r="C22" s="1060"/>
      <c r="D22" s="1060"/>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9"/>
      <c r="C23" s="1060"/>
      <c r="D23" s="1060"/>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9"/>
      <c r="C24" s="1060"/>
      <c r="D24" s="1060"/>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9"/>
      <c r="C25" s="1060"/>
      <c r="D25" s="1060"/>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9"/>
      <c r="C26" s="1060"/>
      <c r="D26" s="1060"/>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9"/>
      <c r="C27" s="1060"/>
      <c r="D27" s="1060"/>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9"/>
      <c r="C28" s="1060"/>
      <c r="D28" s="1060"/>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9"/>
      <c r="C29" s="1060"/>
      <c r="D29" s="1060"/>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9"/>
      <c r="C30" s="1060"/>
      <c r="D30" s="1060"/>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9"/>
      <c r="C31" s="1060"/>
      <c r="D31" s="1060"/>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63"/>
      <c r="C32" s="1064"/>
      <c r="D32" s="1064"/>
      <c r="E32" s="422"/>
      <c r="F32" s="389"/>
      <c r="G32" s="663"/>
      <c r="H32" s="652"/>
      <c r="I32" s="635">
        <f t="shared" si="1"/>
      </c>
      <c r="J32" s="636"/>
      <c r="K32" s="635">
        <f t="shared" si="2"/>
      </c>
      <c r="L32" s="635">
        <f t="shared" si="3"/>
      </c>
      <c r="M32" s="637">
        <f t="shared" si="0"/>
      </c>
      <c r="N32" s="160">
        <v>20</v>
      </c>
      <c r="O32" s="439">
        <v>8</v>
      </c>
    </row>
    <row r="33" spans="1:14" ht="21" customHeight="1" thickBot="1">
      <c r="A33" s="1070" t="s">
        <v>26</v>
      </c>
      <c r="B33" s="1071"/>
      <c r="C33" s="1071"/>
      <c r="D33" s="1071"/>
      <c r="E33" s="1071"/>
      <c r="F33" s="1071"/>
      <c r="G33" s="1071"/>
      <c r="H33" s="1071"/>
      <c r="I33" s="1071"/>
      <c r="J33" s="403"/>
      <c r="K33" s="631">
        <f>SUM(K13:K32)</f>
        <v>828360</v>
      </c>
      <c r="L33" s="631">
        <f>SUM(L13:L32)</f>
        <v>767000</v>
      </c>
      <c r="M33" s="625">
        <f>SUM(M13:M32)</f>
        <v>767000</v>
      </c>
      <c r="N33" s="83"/>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67" t="s">
        <v>852</v>
      </c>
      <c r="E2" s="407"/>
      <c r="H2" s="13"/>
      <c r="P2" s="13"/>
      <c r="Q2" s="408"/>
      <c r="R2" s="408"/>
    </row>
    <row r="3" spans="1:18" ht="13.5">
      <c r="A3" s="13"/>
      <c r="E3" s="407"/>
      <c r="H3" s="13"/>
      <c r="P3" s="13"/>
      <c r="Q3" s="408"/>
      <c r="R3" s="408"/>
    </row>
    <row r="4" spans="1:6" ht="13.5" customHeight="1">
      <c r="A4" s="1050" t="s">
        <v>940</v>
      </c>
      <c r="B4" s="1050"/>
      <c r="C4" s="1050"/>
      <c r="D4" s="1050"/>
      <c r="E4" s="105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757</v>
      </c>
      <c r="N7" s="80"/>
    </row>
    <row r="8" spans="1:15" ht="13.5" customHeight="1">
      <c r="A8" s="80"/>
      <c r="B8" s="80"/>
      <c r="C8" s="80"/>
      <c r="D8" s="80"/>
      <c r="E8" s="409"/>
      <c r="F8" s="13"/>
      <c r="M8" s="8" t="s">
        <v>36</v>
      </c>
      <c r="N8" s="80"/>
      <c r="O8" s="411"/>
    </row>
    <row r="9" spans="1:14" ht="13.5" customHeight="1">
      <c r="A9" s="412"/>
      <c r="F9" s="13"/>
      <c r="I9" s="9" t="s">
        <v>660</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51" t="s">
        <v>12</v>
      </c>
      <c r="B11" s="1053" t="s">
        <v>13</v>
      </c>
      <c r="C11" s="1053"/>
      <c r="D11" s="1054"/>
      <c r="E11" s="10" t="s">
        <v>14</v>
      </c>
      <c r="F11" s="10" t="s">
        <v>15</v>
      </c>
      <c r="G11" s="10" t="s">
        <v>16</v>
      </c>
      <c r="H11" s="10" t="s">
        <v>17</v>
      </c>
      <c r="I11" s="10" t="s">
        <v>6</v>
      </c>
      <c r="J11" s="10" t="s">
        <v>6</v>
      </c>
      <c r="K11" s="1069" t="s">
        <v>18</v>
      </c>
      <c r="L11" s="1054"/>
      <c r="M11" s="10" t="s">
        <v>19</v>
      </c>
      <c r="N11" s="1055" t="s">
        <v>12</v>
      </c>
      <c r="O11" s="1057" t="s">
        <v>123</v>
      </c>
    </row>
    <row r="12" spans="1:15" ht="42" customHeight="1" thickBot="1">
      <c r="A12" s="1052"/>
      <c r="B12" s="414" t="s">
        <v>20</v>
      </c>
      <c r="C12" s="414" t="s">
        <v>21</v>
      </c>
      <c r="D12" s="415" t="s">
        <v>22</v>
      </c>
      <c r="E12" s="416"/>
      <c r="F12" s="417"/>
      <c r="G12" s="402"/>
      <c r="H12" s="402"/>
      <c r="I12" s="402" t="s">
        <v>23</v>
      </c>
      <c r="J12" s="402" t="s">
        <v>41</v>
      </c>
      <c r="K12" s="402" t="s">
        <v>24</v>
      </c>
      <c r="L12" s="11" t="s">
        <v>39</v>
      </c>
      <c r="M12" s="402" t="s">
        <v>25</v>
      </c>
      <c r="N12" s="1056"/>
      <c r="O12" s="1058"/>
    </row>
    <row r="13" spans="1:15" ht="30.75" customHeight="1">
      <c r="A13" s="85">
        <v>1</v>
      </c>
      <c r="B13" s="1067"/>
      <c r="C13" s="1068"/>
      <c r="D13" s="1068"/>
      <c r="E13" s="418" t="s">
        <v>888</v>
      </c>
      <c r="F13" s="383" t="s">
        <v>911</v>
      </c>
      <c r="G13" s="660">
        <v>15</v>
      </c>
      <c r="H13" s="650" t="s">
        <v>912</v>
      </c>
      <c r="I13" s="632">
        <f>IF(J13="","",ROUNDDOWN(J13*(1+O13/100),0))</f>
        <v>54000</v>
      </c>
      <c r="J13" s="627">
        <v>50000</v>
      </c>
      <c r="K13" s="632">
        <f>IF(L13="","",ROUNDDOWN(L13*(1+O13/100),0))</f>
        <v>810000</v>
      </c>
      <c r="L13" s="632">
        <f>IF(OR(J13="",G13=""),"",ROUNDDOWN(J13*G13,0))</f>
        <v>750000</v>
      </c>
      <c r="M13" s="633">
        <f aca="true" t="shared" si="0" ref="M13:M32">L13</f>
        <v>750000</v>
      </c>
      <c r="N13" s="81">
        <v>1</v>
      </c>
      <c r="O13" s="438">
        <v>8</v>
      </c>
    </row>
    <row r="14" spans="1:15" ht="30.75" customHeight="1">
      <c r="A14" s="86">
        <v>2</v>
      </c>
      <c r="B14" s="1059"/>
      <c r="C14" s="1060"/>
      <c r="D14" s="1060"/>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9"/>
      <c r="C15" s="1060"/>
      <c r="D15" s="1060"/>
      <c r="E15" s="419"/>
      <c r="F15" s="385"/>
      <c r="G15" s="660"/>
      <c r="H15" s="650"/>
      <c r="I15" s="632">
        <f t="shared" si="1"/>
      </c>
      <c r="J15" s="634"/>
      <c r="K15" s="632">
        <f t="shared" si="2"/>
      </c>
      <c r="L15" s="632">
        <f t="shared" si="3"/>
      </c>
      <c r="M15" s="633">
        <f t="shared" si="0"/>
      </c>
      <c r="N15" s="81">
        <v>3</v>
      </c>
      <c r="O15" s="438">
        <v>8</v>
      </c>
    </row>
    <row r="16" spans="1:15" ht="30.75" customHeight="1">
      <c r="A16" s="86">
        <v>4</v>
      </c>
      <c r="B16" s="1059"/>
      <c r="C16" s="1060"/>
      <c r="D16" s="1060"/>
      <c r="E16" s="419"/>
      <c r="F16" s="385"/>
      <c r="G16" s="660"/>
      <c r="H16" s="650"/>
      <c r="I16" s="632">
        <f t="shared" si="1"/>
      </c>
      <c r="J16" s="634"/>
      <c r="K16" s="632">
        <f t="shared" si="2"/>
      </c>
      <c r="L16" s="632">
        <f t="shared" si="3"/>
      </c>
      <c r="M16" s="633">
        <f t="shared" si="0"/>
      </c>
      <c r="N16" s="82">
        <v>4</v>
      </c>
      <c r="O16" s="438">
        <v>8</v>
      </c>
    </row>
    <row r="17" spans="1:15" ht="30.75" customHeight="1">
      <c r="A17" s="86">
        <v>5</v>
      </c>
      <c r="B17" s="1059"/>
      <c r="C17" s="1060"/>
      <c r="D17" s="1060"/>
      <c r="E17" s="419"/>
      <c r="F17" s="385"/>
      <c r="G17" s="660"/>
      <c r="H17" s="650"/>
      <c r="I17" s="632">
        <f t="shared" si="1"/>
      </c>
      <c r="J17" s="634"/>
      <c r="K17" s="632">
        <f t="shared" si="2"/>
      </c>
      <c r="L17" s="632">
        <f t="shared" si="3"/>
      </c>
      <c r="M17" s="633">
        <f t="shared" si="0"/>
      </c>
      <c r="N17" s="81">
        <v>5</v>
      </c>
      <c r="O17" s="438">
        <v>8</v>
      </c>
    </row>
    <row r="18" spans="1:15" ht="30.75" customHeight="1">
      <c r="A18" s="86">
        <v>6</v>
      </c>
      <c r="B18" s="1059"/>
      <c r="C18" s="1060"/>
      <c r="D18" s="1060"/>
      <c r="E18" s="419"/>
      <c r="F18" s="385"/>
      <c r="G18" s="660"/>
      <c r="H18" s="650"/>
      <c r="I18" s="632">
        <f t="shared" si="1"/>
      </c>
      <c r="J18" s="634"/>
      <c r="K18" s="632">
        <f t="shared" si="2"/>
      </c>
      <c r="L18" s="632">
        <f t="shared" si="3"/>
      </c>
      <c r="M18" s="633">
        <f t="shared" si="0"/>
      </c>
      <c r="N18" s="82">
        <v>6</v>
      </c>
      <c r="O18" s="438">
        <v>8</v>
      </c>
    </row>
    <row r="19" spans="1:15" ht="30.75" customHeight="1">
      <c r="A19" s="86">
        <v>7</v>
      </c>
      <c r="B19" s="1059"/>
      <c r="C19" s="1060"/>
      <c r="D19" s="1060"/>
      <c r="E19" s="419"/>
      <c r="F19" s="420"/>
      <c r="G19" s="660"/>
      <c r="H19" s="650"/>
      <c r="I19" s="632">
        <f t="shared" si="1"/>
      </c>
      <c r="J19" s="634"/>
      <c r="K19" s="632">
        <f t="shared" si="2"/>
      </c>
      <c r="L19" s="632">
        <f t="shared" si="3"/>
      </c>
      <c r="M19" s="633">
        <f t="shared" si="0"/>
      </c>
      <c r="N19" s="81">
        <v>7</v>
      </c>
      <c r="O19" s="438">
        <v>8</v>
      </c>
    </row>
    <row r="20" spans="1:15" ht="30.75" customHeight="1">
      <c r="A20" s="86">
        <v>8</v>
      </c>
      <c r="B20" s="1059"/>
      <c r="C20" s="1060"/>
      <c r="D20" s="1060"/>
      <c r="E20" s="419"/>
      <c r="F20" s="385"/>
      <c r="G20" s="660"/>
      <c r="H20" s="650"/>
      <c r="I20" s="632">
        <f t="shared" si="1"/>
      </c>
      <c r="J20" s="634"/>
      <c r="K20" s="632">
        <f t="shared" si="2"/>
      </c>
      <c r="L20" s="632">
        <f t="shared" si="3"/>
      </c>
      <c r="M20" s="633">
        <f t="shared" si="0"/>
      </c>
      <c r="N20" s="82">
        <v>8</v>
      </c>
      <c r="O20" s="438">
        <v>8</v>
      </c>
    </row>
    <row r="21" spans="1:15" ht="30.75" customHeight="1">
      <c r="A21" s="86">
        <v>9</v>
      </c>
      <c r="B21" s="1059"/>
      <c r="C21" s="1060"/>
      <c r="D21" s="1060"/>
      <c r="E21" s="419"/>
      <c r="F21" s="385"/>
      <c r="G21" s="660"/>
      <c r="H21" s="650"/>
      <c r="I21" s="632">
        <f t="shared" si="1"/>
      </c>
      <c r="J21" s="634"/>
      <c r="K21" s="632">
        <f t="shared" si="2"/>
      </c>
      <c r="L21" s="632">
        <f t="shared" si="3"/>
      </c>
      <c r="M21" s="633">
        <f t="shared" si="0"/>
      </c>
      <c r="N21" s="81">
        <v>9</v>
      </c>
      <c r="O21" s="438">
        <v>8</v>
      </c>
    </row>
    <row r="22" spans="1:15" ht="30.75" customHeight="1">
      <c r="A22" s="86">
        <v>10</v>
      </c>
      <c r="B22" s="1059"/>
      <c r="C22" s="1060"/>
      <c r="D22" s="1060"/>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9"/>
      <c r="C23" s="1060"/>
      <c r="D23" s="1060"/>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9"/>
      <c r="C24" s="1060"/>
      <c r="D24" s="1060"/>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9"/>
      <c r="C25" s="1060"/>
      <c r="D25" s="1060"/>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9"/>
      <c r="C26" s="1060"/>
      <c r="D26" s="1060"/>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9"/>
      <c r="C27" s="1060"/>
      <c r="D27" s="1060"/>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9"/>
      <c r="C28" s="1060"/>
      <c r="D28" s="1060"/>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9"/>
      <c r="C29" s="1060"/>
      <c r="D29" s="1060"/>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9"/>
      <c r="C30" s="1060"/>
      <c r="D30" s="1060"/>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9"/>
      <c r="C31" s="1060"/>
      <c r="D31" s="1060"/>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63"/>
      <c r="C32" s="1064"/>
      <c r="D32" s="1064"/>
      <c r="E32" s="422"/>
      <c r="F32" s="389"/>
      <c r="G32" s="663"/>
      <c r="H32" s="652"/>
      <c r="I32" s="635">
        <f t="shared" si="1"/>
      </c>
      <c r="J32" s="636"/>
      <c r="K32" s="635">
        <f t="shared" si="2"/>
      </c>
      <c r="L32" s="635">
        <f t="shared" si="3"/>
      </c>
      <c r="M32" s="637">
        <f t="shared" si="0"/>
      </c>
      <c r="N32" s="160">
        <v>20</v>
      </c>
      <c r="O32" s="439">
        <v>8</v>
      </c>
    </row>
    <row r="33" spans="1:14" ht="21" customHeight="1" thickBot="1">
      <c r="A33" s="1070" t="s">
        <v>26</v>
      </c>
      <c r="B33" s="1071"/>
      <c r="C33" s="1071"/>
      <c r="D33" s="1071"/>
      <c r="E33" s="1071"/>
      <c r="F33" s="1071"/>
      <c r="G33" s="1071"/>
      <c r="H33" s="1071"/>
      <c r="I33" s="1071"/>
      <c r="J33" s="403"/>
      <c r="K33" s="631">
        <f>SUM(K13:K32)</f>
        <v>810000</v>
      </c>
      <c r="L33" s="631">
        <f>SUM(L13:L32)</f>
        <v>750000</v>
      </c>
      <c r="M33" s="625">
        <f>SUM(M13:M32)</f>
        <v>750000</v>
      </c>
      <c r="N33" s="83"/>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9"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2">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423" customWidth="1"/>
    <col min="8" max="8" width="6.421875" style="8" customWidth="1"/>
    <col min="9" max="10" width="11.57421875" style="8" customWidth="1"/>
    <col min="11" max="13" width="15.140625" style="8" customWidth="1"/>
    <col min="14" max="14" width="3.8515625" style="13" customWidth="1"/>
    <col min="15" max="15" width="3.8515625" style="8" customWidth="1"/>
    <col min="16" max="16384" width="9.00390625" style="8" customWidth="1"/>
  </cols>
  <sheetData>
    <row r="1" spans="1:18" ht="13.5">
      <c r="A1" s="13"/>
      <c r="E1" s="407"/>
      <c r="G1" s="8"/>
      <c r="H1" s="13"/>
      <c r="O1" s="13"/>
      <c r="P1" s="13"/>
      <c r="Q1" s="408"/>
      <c r="R1" s="408"/>
    </row>
    <row r="2" spans="1:18" ht="13.5">
      <c r="A2" s="13"/>
      <c r="B2" s="767" t="s">
        <v>852</v>
      </c>
      <c r="E2" s="407"/>
      <c r="G2" s="8"/>
      <c r="H2" s="13"/>
      <c r="O2" s="13"/>
      <c r="P2" s="13"/>
      <c r="Q2" s="408"/>
      <c r="R2" s="408"/>
    </row>
    <row r="3" spans="1:18" ht="13.5">
      <c r="A3" s="13"/>
      <c r="E3" s="407"/>
      <c r="G3" s="8"/>
      <c r="H3" s="13"/>
      <c r="O3" s="13"/>
      <c r="P3" s="13"/>
      <c r="Q3" s="408"/>
      <c r="R3" s="408"/>
    </row>
    <row r="4" spans="1:6" ht="13.5" customHeight="1">
      <c r="A4" s="1050" t="s">
        <v>940</v>
      </c>
      <c r="B4" s="1050"/>
      <c r="C4" s="1050"/>
      <c r="D4" s="1050"/>
      <c r="E4" s="105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57</v>
      </c>
      <c r="N7" s="80"/>
    </row>
    <row r="8" spans="1:14" ht="13.5" customHeight="1">
      <c r="A8" s="80"/>
      <c r="B8" s="80"/>
      <c r="C8" s="80"/>
      <c r="D8" s="80"/>
      <c r="E8" s="409"/>
      <c r="F8" s="13"/>
      <c r="M8" s="8" t="s">
        <v>36</v>
      </c>
      <c r="N8" s="80"/>
    </row>
    <row r="9" spans="1:14" ht="13.5" customHeight="1">
      <c r="A9" s="412"/>
      <c r="F9" s="13"/>
      <c r="I9" s="9" t="s">
        <v>660</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51" t="s">
        <v>12</v>
      </c>
      <c r="B11" s="1053" t="s">
        <v>13</v>
      </c>
      <c r="C11" s="1053"/>
      <c r="D11" s="1054"/>
      <c r="E11" s="10" t="s">
        <v>14</v>
      </c>
      <c r="F11" s="10" t="s">
        <v>15</v>
      </c>
      <c r="G11" s="424" t="s">
        <v>732</v>
      </c>
      <c r="H11" s="10" t="s">
        <v>730</v>
      </c>
      <c r="I11" s="10" t="s">
        <v>6</v>
      </c>
      <c r="J11" s="10" t="s">
        <v>6</v>
      </c>
      <c r="K11" s="1069" t="s">
        <v>18</v>
      </c>
      <c r="L11" s="1054"/>
      <c r="M11" s="404" t="s">
        <v>19</v>
      </c>
      <c r="N11" s="1075" t="s">
        <v>12</v>
      </c>
      <c r="O11" s="425"/>
    </row>
    <row r="12" spans="1:15" ht="42" customHeight="1" thickBot="1">
      <c r="A12" s="1052"/>
      <c r="B12" s="414" t="s">
        <v>20</v>
      </c>
      <c r="C12" s="414" t="s">
        <v>21</v>
      </c>
      <c r="D12" s="415" t="s">
        <v>22</v>
      </c>
      <c r="E12" s="416"/>
      <c r="F12" s="417"/>
      <c r="G12" s="426" t="s">
        <v>733</v>
      </c>
      <c r="H12" s="402" t="s">
        <v>731</v>
      </c>
      <c r="I12" s="402" t="s">
        <v>23</v>
      </c>
      <c r="J12" s="402" t="s">
        <v>41</v>
      </c>
      <c r="K12" s="402" t="s">
        <v>24</v>
      </c>
      <c r="L12" s="11" t="s">
        <v>39</v>
      </c>
      <c r="M12" s="11" t="s">
        <v>25</v>
      </c>
      <c r="N12" s="1076"/>
      <c r="O12" s="427"/>
    </row>
    <row r="13" spans="1:15" ht="30.75" customHeight="1">
      <c r="A13" s="85">
        <v>1</v>
      </c>
      <c r="B13" s="1067"/>
      <c r="C13" s="1068"/>
      <c r="D13" s="1068"/>
      <c r="E13" s="383" t="s">
        <v>889</v>
      </c>
      <c r="F13" s="383" t="s">
        <v>910</v>
      </c>
      <c r="G13" s="660">
        <v>140</v>
      </c>
      <c r="H13" s="653" t="s">
        <v>943</v>
      </c>
      <c r="I13" s="628">
        <f aca="true" t="shared" si="0" ref="I13:I32">IF(J13="","",J13)</f>
        <v>1000</v>
      </c>
      <c r="J13" s="627">
        <v>1000</v>
      </c>
      <c r="K13" s="626">
        <f>IF(OR(I13="",G13=""),"",ROUNDDOWN(I13*G13,0))</f>
        <v>140000</v>
      </c>
      <c r="L13" s="626">
        <f>IF(OR(J13="",G13=""),"",ROUNDDOWN(J13*G13,0))</f>
        <v>140000</v>
      </c>
      <c r="M13" s="626">
        <f aca="true" t="shared" si="1" ref="M13:M32">L13</f>
        <v>140000</v>
      </c>
      <c r="N13" s="898">
        <v>1</v>
      </c>
      <c r="O13" s="897"/>
    </row>
    <row r="14" spans="1:15" ht="30.75" customHeight="1">
      <c r="A14" s="86">
        <v>2</v>
      </c>
      <c r="B14" s="1059"/>
      <c r="C14" s="1060"/>
      <c r="D14" s="1060"/>
      <c r="E14" s="384"/>
      <c r="F14" s="385"/>
      <c r="G14" s="660"/>
      <c r="H14" s="654"/>
      <c r="I14" s="628">
        <f t="shared" si="0"/>
      </c>
      <c r="J14" s="629"/>
      <c r="K14" s="628">
        <f aca="true" t="shared" si="2" ref="K14:K32">IF(OR(I14="",G14=""),"",ROUNDDOWN(I14*G14,0))</f>
      </c>
      <c r="L14" s="628">
        <f aca="true" t="shared" si="3" ref="L14:L32">IF(OR(J14="",G14=""),"",ROUNDDOWN(J14*G14,0))</f>
      </c>
      <c r="M14" s="628">
        <f t="shared" si="1"/>
      </c>
      <c r="N14" s="899">
        <v>2</v>
      </c>
      <c r="O14" s="897"/>
    </row>
    <row r="15" spans="1:15" ht="30.75" customHeight="1">
      <c r="A15" s="86">
        <v>3</v>
      </c>
      <c r="B15" s="1059"/>
      <c r="C15" s="1060"/>
      <c r="D15" s="1060"/>
      <c r="E15" s="384"/>
      <c r="F15" s="385"/>
      <c r="G15" s="660"/>
      <c r="H15" s="654"/>
      <c r="I15" s="628">
        <f t="shared" si="0"/>
      </c>
      <c r="J15" s="629"/>
      <c r="K15" s="628">
        <f t="shared" si="2"/>
      </c>
      <c r="L15" s="628">
        <f t="shared" si="3"/>
      </c>
      <c r="M15" s="628">
        <f t="shared" si="1"/>
      </c>
      <c r="N15" s="898">
        <v>3</v>
      </c>
      <c r="O15" s="897"/>
    </row>
    <row r="16" spans="1:15" ht="30.75" customHeight="1">
      <c r="A16" s="86">
        <v>4</v>
      </c>
      <c r="B16" s="1059"/>
      <c r="C16" s="1060"/>
      <c r="D16" s="1060"/>
      <c r="E16" s="384"/>
      <c r="F16" s="385"/>
      <c r="G16" s="660"/>
      <c r="H16" s="654"/>
      <c r="I16" s="628">
        <f t="shared" si="0"/>
      </c>
      <c r="J16" s="629"/>
      <c r="K16" s="628">
        <f t="shared" si="2"/>
      </c>
      <c r="L16" s="628">
        <f t="shared" si="3"/>
      </c>
      <c r="M16" s="628">
        <f t="shared" si="1"/>
      </c>
      <c r="N16" s="899">
        <v>4</v>
      </c>
      <c r="O16" s="897"/>
    </row>
    <row r="17" spans="1:15" ht="30.75" customHeight="1">
      <c r="A17" s="86">
        <v>5</v>
      </c>
      <c r="B17" s="1059"/>
      <c r="C17" s="1060"/>
      <c r="D17" s="1060"/>
      <c r="E17" s="384"/>
      <c r="F17" s="385"/>
      <c r="G17" s="660"/>
      <c r="H17" s="654"/>
      <c r="I17" s="628">
        <f t="shared" si="0"/>
      </c>
      <c r="J17" s="629"/>
      <c r="K17" s="628">
        <f t="shared" si="2"/>
      </c>
      <c r="L17" s="628">
        <f t="shared" si="3"/>
      </c>
      <c r="M17" s="628">
        <f t="shared" si="1"/>
      </c>
      <c r="N17" s="898">
        <v>5</v>
      </c>
      <c r="O17" s="897"/>
    </row>
    <row r="18" spans="1:15" ht="30.75" customHeight="1">
      <c r="A18" s="86">
        <v>6</v>
      </c>
      <c r="B18" s="1059"/>
      <c r="C18" s="1060"/>
      <c r="D18" s="1060"/>
      <c r="E18" s="384"/>
      <c r="F18" s="385"/>
      <c r="G18" s="660"/>
      <c r="H18" s="654"/>
      <c r="I18" s="628">
        <f t="shared" si="0"/>
      </c>
      <c r="J18" s="629"/>
      <c r="K18" s="628">
        <f t="shared" si="2"/>
      </c>
      <c r="L18" s="628">
        <f t="shared" si="3"/>
      </c>
      <c r="M18" s="628">
        <f t="shared" si="1"/>
      </c>
      <c r="N18" s="899">
        <v>6</v>
      </c>
      <c r="O18" s="897"/>
    </row>
    <row r="19" spans="1:15" ht="30.75" customHeight="1">
      <c r="A19" s="86">
        <v>7</v>
      </c>
      <c r="B19" s="1059"/>
      <c r="C19" s="1060"/>
      <c r="D19" s="1060"/>
      <c r="E19" s="384"/>
      <c r="F19" s="385"/>
      <c r="G19" s="660"/>
      <c r="H19" s="654"/>
      <c r="I19" s="628">
        <f t="shared" si="0"/>
      </c>
      <c r="J19" s="629"/>
      <c r="K19" s="628">
        <f t="shared" si="2"/>
      </c>
      <c r="L19" s="628">
        <f t="shared" si="3"/>
      </c>
      <c r="M19" s="628">
        <f t="shared" si="1"/>
      </c>
      <c r="N19" s="898">
        <v>7</v>
      </c>
      <c r="O19" s="897"/>
    </row>
    <row r="20" spans="1:15" ht="30.75" customHeight="1">
      <c r="A20" s="86">
        <v>8</v>
      </c>
      <c r="B20" s="1059"/>
      <c r="C20" s="1060"/>
      <c r="D20" s="1060"/>
      <c r="E20" s="384"/>
      <c r="F20" s="385"/>
      <c r="G20" s="660"/>
      <c r="H20" s="654"/>
      <c r="I20" s="628">
        <f t="shared" si="0"/>
      </c>
      <c r="J20" s="629"/>
      <c r="K20" s="628">
        <f t="shared" si="2"/>
      </c>
      <c r="L20" s="628">
        <f t="shared" si="3"/>
      </c>
      <c r="M20" s="628">
        <f t="shared" si="1"/>
      </c>
      <c r="N20" s="899">
        <v>8</v>
      </c>
      <c r="O20" s="897"/>
    </row>
    <row r="21" spans="1:15" ht="30.75" customHeight="1">
      <c r="A21" s="86">
        <v>9</v>
      </c>
      <c r="B21" s="1059"/>
      <c r="C21" s="1060"/>
      <c r="D21" s="1060"/>
      <c r="E21" s="385"/>
      <c r="F21" s="385"/>
      <c r="G21" s="660"/>
      <c r="H21" s="654"/>
      <c r="I21" s="628">
        <f t="shared" si="0"/>
      </c>
      <c r="J21" s="629"/>
      <c r="K21" s="628">
        <f t="shared" si="2"/>
      </c>
      <c r="L21" s="628">
        <f t="shared" si="3"/>
      </c>
      <c r="M21" s="628">
        <f t="shared" si="1"/>
      </c>
      <c r="N21" s="898">
        <v>9</v>
      </c>
      <c r="O21" s="897"/>
    </row>
    <row r="22" spans="1:15" ht="30.75" customHeight="1">
      <c r="A22" s="86">
        <v>10</v>
      </c>
      <c r="B22" s="1059"/>
      <c r="C22" s="1060"/>
      <c r="D22" s="1060"/>
      <c r="E22" s="385"/>
      <c r="F22" s="385"/>
      <c r="G22" s="660"/>
      <c r="H22" s="654"/>
      <c r="I22" s="628">
        <f t="shared" si="0"/>
      </c>
      <c r="J22" s="629"/>
      <c r="K22" s="628">
        <f t="shared" si="2"/>
      </c>
      <c r="L22" s="628">
        <f t="shared" si="3"/>
      </c>
      <c r="M22" s="628">
        <f t="shared" si="1"/>
      </c>
      <c r="N22" s="899">
        <v>10</v>
      </c>
      <c r="O22" s="897"/>
    </row>
    <row r="23" spans="1:15" ht="30.75" customHeight="1">
      <c r="A23" s="86">
        <v>11</v>
      </c>
      <c r="B23" s="1059"/>
      <c r="C23" s="1060"/>
      <c r="D23" s="1060"/>
      <c r="E23" s="385"/>
      <c r="F23" s="385"/>
      <c r="G23" s="660"/>
      <c r="H23" s="654"/>
      <c r="I23" s="628">
        <f t="shared" si="0"/>
      </c>
      <c r="J23" s="629"/>
      <c r="K23" s="628">
        <f t="shared" si="2"/>
      </c>
      <c r="L23" s="628">
        <f t="shared" si="3"/>
      </c>
      <c r="M23" s="628">
        <f t="shared" si="1"/>
      </c>
      <c r="N23" s="898">
        <v>11</v>
      </c>
      <c r="O23" s="897"/>
    </row>
    <row r="24" spans="1:15" ht="30.75" customHeight="1">
      <c r="A24" s="86">
        <v>12</v>
      </c>
      <c r="B24" s="1059"/>
      <c r="C24" s="1060"/>
      <c r="D24" s="1060"/>
      <c r="E24" s="385"/>
      <c r="F24" s="385"/>
      <c r="G24" s="660"/>
      <c r="H24" s="654"/>
      <c r="I24" s="628">
        <f t="shared" si="0"/>
      </c>
      <c r="J24" s="629"/>
      <c r="K24" s="628">
        <f t="shared" si="2"/>
      </c>
      <c r="L24" s="628">
        <f t="shared" si="3"/>
      </c>
      <c r="M24" s="628">
        <f t="shared" si="1"/>
      </c>
      <c r="N24" s="899">
        <v>12</v>
      </c>
      <c r="O24" s="897"/>
    </row>
    <row r="25" spans="1:15" ht="30.75" customHeight="1">
      <c r="A25" s="86">
        <v>13</v>
      </c>
      <c r="B25" s="1059"/>
      <c r="C25" s="1060"/>
      <c r="D25" s="1060"/>
      <c r="E25" s="385"/>
      <c r="F25" s="385"/>
      <c r="G25" s="660"/>
      <c r="H25" s="654"/>
      <c r="I25" s="628">
        <f t="shared" si="0"/>
      </c>
      <c r="J25" s="629"/>
      <c r="K25" s="628">
        <f t="shared" si="2"/>
      </c>
      <c r="L25" s="628">
        <f t="shared" si="3"/>
      </c>
      <c r="M25" s="628">
        <f t="shared" si="1"/>
      </c>
      <c r="N25" s="898">
        <v>13</v>
      </c>
      <c r="O25" s="897"/>
    </row>
    <row r="26" spans="1:15" ht="30.75" customHeight="1">
      <c r="A26" s="86">
        <v>14</v>
      </c>
      <c r="B26" s="1059"/>
      <c r="C26" s="1060"/>
      <c r="D26" s="1060"/>
      <c r="E26" s="385"/>
      <c r="F26" s="385"/>
      <c r="G26" s="660"/>
      <c r="H26" s="654"/>
      <c r="I26" s="628">
        <f t="shared" si="0"/>
      </c>
      <c r="J26" s="629"/>
      <c r="K26" s="628">
        <f t="shared" si="2"/>
      </c>
      <c r="L26" s="628">
        <f t="shared" si="3"/>
      </c>
      <c r="M26" s="628">
        <f t="shared" si="1"/>
      </c>
      <c r="N26" s="899">
        <v>14</v>
      </c>
      <c r="O26" s="897"/>
    </row>
    <row r="27" spans="1:15" ht="30.75" customHeight="1">
      <c r="A27" s="86">
        <v>15</v>
      </c>
      <c r="B27" s="1059"/>
      <c r="C27" s="1060"/>
      <c r="D27" s="1060"/>
      <c r="E27" s="385"/>
      <c r="F27" s="385"/>
      <c r="G27" s="660"/>
      <c r="H27" s="654"/>
      <c r="I27" s="628">
        <f t="shared" si="0"/>
      </c>
      <c r="J27" s="629"/>
      <c r="K27" s="628">
        <f t="shared" si="2"/>
      </c>
      <c r="L27" s="628">
        <f t="shared" si="3"/>
      </c>
      <c r="M27" s="628">
        <f t="shared" si="1"/>
      </c>
      <c r="N27" s="898">
        <v>15</v>
      </c>
      <c r="O27" s="897"/>
    </row>
    <row r="28" spans="1:15" ht="30.75" customHeight="1">
      <c r="A28" s="86">
        <v>16</v>
      </c>
      <c r="B28" s="1059"/>
      <c r="C28" s="1060"/>
      <c r="D28" s="1060"/>
      <c r="E28" s="385"/>
      <c r="F28" s="385"/>
      <c r="G28" s="660"/>
      <c r="H28" s="654"/>
      <c r="I28" s="628">
        <f t="shared" si="0"/>
      </c>
      <c r="J28" s="629"/>
      <c r="K28" s="628">
        <f t="shared" si="2"/>
      </c>
      <c r="L28" s="628">
        <f t="shared" si="3"/>
      </c>
      <c r="M28" s="628">
        <f t="shared" si="1"/>
      </c>
      <c r="N28" s="899">
        <v>16</v>
      </c>
      <c r="O28" s="897"/>
    </row>
    <row r="29" spans="1:15" ht="30.75" customHeight="1">
      <c r="A29" s="86">
        <v>17</v>
      </c>
      <c r="B29" s="1059"/>
      <c r="C29" s="1060"/>
      <c r="D29" s="1060"/>
      <c r="E29" s="385"/>
      <c r="F29" s="385"/>
      <c r="G29" s="660"/>
      <c r="H29" s="654"/>
      <c r="I29" s="628">
        <f t="shared" si="0"/>
      </c>
      <c r="J29" s="629"/>
      <c r="K29" s="628">
        <f t="shared" si="2"/>
      </c>
      <c r="L29" s="628">
        <f t="shared" si="3"/>
      </c>
      <c r="M29" s="628">
        <f t="shared" si="1"/>
      </c>
      <c r="N29" s="898">
        <v>17</v>
      </c>
      <c r="O29" s="897"/>
    </row>
    <row r="30" spans="1:15" ht="30.75" customHeight="1">
      <c r="A30" s="86">
        <v>18</v>
      </c>
      <c r="B30" s="1059"/>
      <c r="C30" s="1060"/>
      <c r="D30" s="1060"/>
      <c r="E30" s="385"/>
      <c r="F30" s="385"/>
      <c r="G30" s="660"/>
      <c r="H30" s="654"/>
      <c r="I30" s="628">
        <f t="shared" si="0"/>
      </c>
      <c r="J30" s="629"/>
      <c r="K30" s="628">
        <f t="shared" si="2"/>
      </c>
      <c r="L30" s="628">
        <f t="shared" si="3"/>
      </c>
      <c r="M30" s="628">
        <f t="shared" si="1"/>
      </c>
      <c r="N30" s="899">
        <v>18</v>
      </c>
      <c r="O30" s="897"/>
    </row>
    <row r="31" spans="1:15" ht="30.75" customHeight="1">
      <c r="A31" s="86">
        <v>19</v>
      </c>
      <c r="B31" s="1059"/>
      <c r="C31" s="1060"/>
      <c r="D31" s="1060"/>
      <c r="E31" s="385"/>
      <c r="F31" s="385"/>
      <c r="G31" s="660"/>
      <c r="H31" s="654"/>
      <c r="I31" s="628">
        <f t="shared" si="0"/>
      </c>
      <c r="J31" s="629"/>
      <c r="K31" s="628">
        <f t="shared" si="2"/>
      </c>
      <c r="L31" s="628">
        <f t="shared" si="3"/>
      </c>
      <c r="M31" s="628">
        <f t="shared" si="1"/>
      </c>
      <c r="N31" s="898">
        <v>19</v>
      </c>
      <c r="O31" s="897"/>
    </row>
    <row r="32" spans="1:15" ht="30.75" customHeight="1" thickBot="1">
      <c r="A32" s="159">
        <v>20</v>
      </c>
      <c r="B32" s="1063"/>
      <c r="C32" s="1064"/>
      <c r="D32" s="1064"/>
      <c r="E32" s="389"/>
      <c r="F32" s="389"/>
      <c r="G32" s="663"/>
      <c r="H32" s="655"/>
      <c r="I32" s="624">
        <f t="shared" si="0"/>
      </c>
      <c r="J32" s="630"/>
      <c r="K32" s="624">
        <f t="shared" si="2"/>
      </c>
      <c r="L32" s="624">
        <f t="shared" si="3"/>
      </c>
      <c r="M32" s="624">
        <f t="shared" si="1"/>
      </c>
      <c r="N32" s="900">
        <v>20</v>
      </c>
      <c r="O32" s="897"/>
    </row>
    <row r="33" spans="1:15" ht="21" customHeight="1" thickBot="1">
      <c r="A33" s="1070" t="s">
        <v>26</v>
      </c>
      <c r="B33" s="1071"/>
      <c r="C33" s="1071"/>
      <c r="D33" s="1071"/>
      <c r="E33" s="1071"/>
      <c r="F33" s="1071"/>
      <c r="G33" s="1071"/>
      <c r="H33" s="1071"/>
      <c r="I33" s="1071"/>
      <c r="J33" s="403"/>
      <c r="K33" s="624">
        <f>SUM(K13:K32)</f>
        <v>140000</v>
      </c>
      <c r="L33" s="624">
        <f>SUM(L13:L32)</f>
        <v>140000</v>
      </c>
      <c r="M33" s="625">
        <f>SUM(M13:M32)</f>
        <v>140000</v>
      </c>
      <c r="N33" s="83"/>
      <c r="O33" s="428"/>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6">
    <mergeCell ref="B32:D32"/>
    <mergeCell ref="A33:I33"/>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A4:E4"/>
    <mergeCell ref="A11:A12"/>
    <mergeCell ref="B11:D11"/>
    <mergeCell ref="K11:L11"/>
    <mergeCell ref="N11:N12"/>
    <mergeCell ref="B13:D13"/>
  </mergeCells>
  <dataValidations count="2">
    <dataValidation allowBlank="1" showInputMessage="1" showErrorMessage="1" imeMode="halfAlpha" sqref="K33:L33 I13:M32"/>
    <dataValidation allowBlank="1" showInputMessage="1" showErrorMessage="1" imeMode="hiragana" sqref="L9"/>
  </dataValidations>
  <hyperlinks>
    <hyperlink ref="B2" location="'基本情報入力（使い方）'!A50"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4"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67" t="s">
        <v>852</v>
      </c>
      <c r="E2" s="407"/>
      <c r="H2" s="13"/>
      <c r="P2" s="13"/>
      <c r="Q2" s="408"/>
      <c r="R2" s="408"/>
    </row>
    <row r="3" spans="1:18" ht="13.5">
      <c r="A3" s="13"/>
      <c r="E3" s="407"/>
      <c r="H3" s="13"/>
      <c r="P3" s="13"/>
      <c r="Q3" s="408"/>
      <c r="R3" s="408"/>
    </row>
    <row r="4" spans="1:6" ht="13.5" customHeight="1">
      <c r="A4" s="1050" t="s">
        <v>940</v>
      </c>
      <c r="B4" s="1050"/>
      <c r="C4" s="1050"/>
      <c r="D4" s="1050"/>
      <c r="E4" s="1050"/>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758</v>
      </c>
      <c r="N7" s="80"/>
    </row>
    <row r="8" spans="1:15" ht="13.5" customHeight="1">
      <c r="A8" s="80"/>
      <c r="B8" s="80"/>
      <c r="C8" s="80"/>
      <c r="D8" s="80"/>
      <c r="E8" s="409"/>
      <c r="F8" s="13"/>
      <c r="M8" s="8" t="s">
        <v>36</v>
      </c>
      <c r="N8" s="80"/>
      <c r="O8" s="411"/>
    </row>
    <row r="9" spans="1:14" ht="13.5" customHeight="1">
      <c r="A9" s="412"/>
      <c r="F9" s="13"/>
      <c r="I9" s="9" t="s">
        <v>660</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51" t="s">
        <v>12</v>
      </c>
      <c r="B11" s="1053" t="s">
        <v>13</v>
      </c>
      <c r="C11" s="1053"/>
      <c r="D11" s="1054"/>
      <c r="E11" s="10" t="s">
        <v>14</v>
      </c>
      <c r="F11" s="10" t="s">
        <v>15</v>
      </c>
      <c r="G11" s="10" t="s">
        <v>16</v>
      </c>
      <c r="H11" s="10" t="s">
        <v>17</v>
      </c>
      <c r="I11" s="10" t="s">
        <v>6</v>
      </c>
      <c r="J11" s="10" t="s">
        <v>6</v>
      </c>
      <c r="K11" s="1069" t="s">
        <v>18</v>
      </c>
      <c r="L11" s="1054"/>
      <c r="M11" s="10" t="s">
        <v>19</v>
      </c>
      <c r="N11" s="1055" t="s">
        <v>12</v>
      </c>
      <c r="O11" s="1057" t="s">
        <v>123</v>
      </c>
    </row>
    <row r="12" spans="1:15" ht="42" customHeight="1" thickBot="1">
      <c r="A12" s="1052"/>
      <c r="B12" s="414" t="s">
        <v>20</v>
      </c>
      <c r="C12" s="414" t="s">
        <v>21</v>
      </c>
      <c r="D12" s="415" t="s">
        <v>22</v>
      </c>
      <c r="E12" s="416"/>
      <c r="F12" s="417"/>
      <c r="G12" s="402"/>
      <c r="H12" s="402"/>
      <c r="I12" s="402" t="s">
        <v>23</v>
      </c>
      <c r="J12" s="402" t="s">
        <v>41</v>
      </c>
      <c r="K12" s="402" t="s">
        <v>24</v>
      </c>
      <c r="L12" s="11" t="s">
        <v>39</v>
      </c>
      <c r="M12" s="402" t="s">
        <v>25</v>
      </c>
      <c r="N12" s="1056"/>
      <c r="O12" s="1058"/>
    </row>
    <row r="13" spans="1:15" ht="30.75" customHeight="1">
      <c r="A13" s="85">
        <v>1</v>
      </c>
      <c r="B13" s="1067"/>
      <c r="C13" s="1068"/>
      <c r="D13" s="1068"/>
      <c r="E13" s="418" t="s">
        <v>890</v>
      </c>
      <c r="F13" s="384" t="s">
        <v>913</v>
      </c>
      <c r="G13" s="660">
        <v>1</v>
      </c>
      <c r="H13" s="650" t="s">
        <v>920</v>
      </c>
      <c r="I13" s="632">
        <f>IF(J13="","",ROUNDDOWN(J13*(1+O13/100),0))</f>
        <v>108000</v>
      </c>
      <c r="J13" s="634">
        <v>100000</v>
      </c>
      <c r="K13" s="632">
        <f>IF(L13="","",ROUNDDOWN(L13*(1+O13/100),0))</f>
        <v>108000</v>
      </c>
      <c r="L13" s="632">
        <f>IF(OR(J13="",G13=""),"",ROUNDDOWN(J13*G13,0))</f>
        <v>100000</v>
      </c>
      <c r="M13" s="633">
        <f aca="true" t="shared" si="0" ref="M13:M32">L13</f>
        <v>100000</v>
      </c>
      <c r="N13" s="81">
        <v>1</v>
      </c>
      <c r="O13" s="438">
        <v>8</v>
      </c>
    </row>
    <row r="14" spans="1:15" ht="30.75" customHeight="1">
      <c r="A14" s="86">
        <v>2</v>
      </c>
      <c r="B14" s="1059"/>
      <c r="C14" s="1060"/>
      <c r="D14" s="1060"/>
      <c r="E14" s="418" t="s">
        <v>890</v>
      </c>
      <c r="F14" s="385" t="s">
        <v>914</v>
      </c>
      <c r="G14" s="660">
        <v>1</v>
      </c>
      <c r="H14" s="650" t="s">
        <v>919</v>
      </c>
      <c r="I14" s="632">
        <f aca="true" t="shared" si="1" ref="I14:I32">IF(J14="","",ROUNDDOWN(J14*(1+O14/100),0))</f>
        <v>54000</v>
      </c>
      <c r="J14" s="634">
        <v>50000</v>
      </c>
      <c r="K14" s="632">
        <f aca="true" t="shared" si="2" ref="K14:K32">IF(L14="","",ROUNDDOWN(L14*(1+O14/100),0))</f>
        <v>54000</v>
      </c>
      <c r="L14" s="632">
        <f aca="true" t="shared" si="3" ref="L14:L32">IF(OR(J14="",G14=""),"",ROUNDDOWN(J14*G14,0))</f>
        <v>50000</v>
      </c>
      <c r="M14" s="633">
        <f t="shared" si="0"/>
        <v>50000</v>
      </c>
      <c r="N14" s="82">
        <v>2</v>
      </c>
      <c r="O14" s="438">
        <v>8</v>
      </c>
    </row>
    <row r="15" spans="1:15" ht="30.75" customHeight="1">
      <c r="A15" s="86">
        <v>3</v>
      </c>
      <c r="B15" s="1059"/>
      <c r="C15" s="1060"/>
      <c r="D15" s="1060"/>
      <c r="E15" s="418" t="s">
        <v>890</v>
      </c>
      <c r="F15" s="385" t="s">
        <v>915</v>
      </c>
      <c r="G15" s="660">
        <v>20</v>
      </c>
      <c r="H15" s="650" t="s">
        <v>944</v>
      </c>
      <c r="I15" s="632">
        <f t="shared" si="1"/>
        <v>5400</v>
      </c>
      <c r="J15" s="634">
        <v>5000</v>
      </c>
      <c r="K15" s="632">
        <f t="shared" si="2"/>
        <v>108000</v>
      </c>
      <c r="L15" s="632">
        <f t="shared" si="3"/>
        <v>100000</v>
      </c>
      <c r="M15" s="633">
        <f t="shared" si="0"/>
        <v>100000</v>
      </c>
      <c r="N15" s="81">
        <v>3</v>
      </c>
      <c r="O15" s="438">
        <v>8</v>
      </c>
    </row>
    <row r="16" spans="1:15" ht="30.75" customHeight="1">
      <c r="A16" s="86">
        <v>4</v>
      </c>
      <c r="B16" s="1059"/>
      <c r="C16" s="1060"/>
      <c r="D16" s="1060"/>
      <c r="E16" s="419"/>
      <c r="F16" s="385"/>
      <c r="G16" s="660"/>
      <c r="H16" s="650"/>
      <c r="I16" s="632">
        <f t="shared" si="1"/>
      </c>
      <c r="J16" s="634"/>
      <c r="K16" s="632">
        <f t="shared" si="2"/>
      </c>
      <c r="L16" s="632">
        <f t="shared" si="3"/>
      </c>
      <c r="M16" s="633">
        <f t="shared" si="0"/>
      </c>
      <c r="N16" s="82">
        <v>4</v>
      </c>
      <c r="O16" s="438">
        <v>8</v>
      </c>
    </row>
    <row r="17" spans="1:15" ht="30.75" customHeight="1">
      <c r="A17" s="86">
        <v>5</v>
      </c>
      <c r="B17" s="1059"/>
      <c r="C17" s="1060"/>
      <c r="D17" s="1060"/>
      <c r="E17" s="419"/>
      <c r="F17" s="385"/>
      <c r="G17" s="660"/>
      <c r="H17" s="650"/>
      <c r="I17" s="632">
        <f t="shared" si="1"/>
      </c>
      <c r="J17" s="634"/>
      <c r="K17" s="632">
        <f t="shared" si="2"/>
      </c>
      <c r="L17" s="632">
        <f t="shared" si="3"/>
      </c>
      <c r="M17" s="633">
        <f t="shared" si="0"/>
      </c>
      <c r="N17" s="81">
        <v>5</v>
      </c>
      <c r="O17" s="438">
        <v>8</v>
      </c>
    </row>
    <row r="18" spans="1:15" ht="30.75" customHeight="1">
      <c r="A18" s="86">
        <v>6</v>
      </c>
      <c r="B18" s="1059"/>
      <c r="C18" s="1060"/>
      <c r="D18" s="1060"/>
      <c r="E18" s="419"/>
      <c r="F18" s="385"/>
      <c r="G18" s="660"/>
      <c r="H18" s="650"/>
      <c r="I18" s="632">
        <f t="shared" si="1"/>
      </c>
      <c r="J18" s="634"/>
      <c r="K18" s="632">
        <f t="shared" si="2"/>
      </c>
      <c r="L18" s="632">
        <f t="shared" si="3"/>
      </c>
      <c r="M18" s="633">
        <f t="shared" si="0"/>
      </c>
      <c r="N18" s="82">
        <v>6</v>
      </c>
      <c r="O18" s="438">
        <v>8</v>
      </c>
    </row>
    <row r="19" spans="1:15" ht="30.75" customHeight="1">
      <c r="A19" s="86">
        <v>7</v>
      </c>
      <c r="B19" s="1059"/>
      <c r="C19" s="1060"/>
      <c r="D19" s="1060"/>
      <c r="E19" s="419"/>
      <c r="F19" s="420"/>
      <c r="G19" s="660"/>
      <c r="H19" s="650"/>
      <c r="I19" s="632">
        <f t="shared" si="1"/>
      </c>
      <c r="J19" s="634"/>
      <c r="K19" s="632">
        <f t="shared" si="2"/>
      </c>
      <c r="L19" s="632">
        <f t="shared" si="3"/>
      </c>
      <c r="M19" s="633">
        <f t="shared" si="0"/>
      </c>
      <c r="N19" s="81">
        <v>7</v>
      </c>
      <c r="O19" s="438">
        <v>8</v>
      </c>
    </row>
    <row r="20" spans="1:15" ht="30.75" customHeight="1">
      <c r="A20" s="86">
        <v>8</v>
      </c>
      <c r="B20" s="1059"/>
      <c r="C20" s="1060"/>
      <c r="D20" s="1060"/>
      <c r="E20" s="419"/>
      <c r="F20" s="385"/>
      <c r="G20" s="660"/>
      <c r="H20" s="650"/>
      <c r="I20" s="632">
        <f t="shared" si="1"/>
      </c>
      <c r="J20" s="634"/>
      <c r="K20" s="632">
        <f t="shared" si="2"/>
      </c>
      <c r="L20" s="632">
        <f t="shared" si="3"/>
      </c>
      <c r="M20" s="633">
        <f t="shared" si="0"/>
      </c>
      <c r="N20" s="82">
        <v>8</v>
      </c>
      <c r="O20" s="438">
        <v>8</v>
      </c>
    </row>
    <row r="21" spans="1:15" ht="30.75" customHeight="1">
      <c r="A21" s="86">
        <v>9</v>
      </c>
      <c r="B21" s="1059"/>
      <c r="C21" s="1060"/>
      <c r="D21" s="1060"/>
      <c r="E21" s="419"/>
      <c r="F21" s="385"/>
      <c r="G21" s="660"/>
      <c r="H21" s="650"/>
      <c r="I21" s="632">
        <f t="shared" si="1"/>
      </c>
      <c r="J21" s="634"/>
      <c r="K21" s="632">
        <f t="shared" si="2"/>
      </c>
      <c r="L21" s="632">
        <f t="shared" si="3"/>
      </c>
      <c r="M21" s="633">
        <f t="shared" si="0"/>
      </c>
      <c r="N21" s="81">
        <v>9</v>
      </c>
      <c r="O21" s="438">
        <v>8</v>
      </c>
    </row>
    <row r="22" spans="1:15" ht="30.75" customHeight="1">
      <c r="A22" s="86">
        <v>10</v>
      </c>
      <c r="B22" s="1059"/>
      <c r="C22" s="1060"/>
      <c r="D22" s="1060"/>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9"/>
      <c r="C23" s="1060"/>
      <c r="D23" s="1060"/>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9"/>
      <c r="C24" s="1060"/>
      <c r="D24" s="1060"/>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9"/>
      <c r="C25" s="1060"/>
      <c r="D25" s="1060"/>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9"/>
      <c r="C26" s="1060"/>
      <c r="D26" s="1060"/>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9"/>
      <c r="C27" s="1060"/>
      <c r="D27" s="1060"/>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9"/>
      <c r="C28" s="1060"/>
      <c r="D28" s="1060"/>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9"/>
      <c r="C29" s="1060"/>
      <c r="D29" s="1060"/>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9"/>
      <c r="C30" s="1060"/>
      <c r="D30" s="1060"/>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9"/>
      <c r="C31" s="1060"/>
      <c r="D31" s="1060"/>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63"/>
      <c r="C32" s="1064"/>
      <c r="D32" s="1064"/>
      <c r="E32" s="422"/>
      <c r="F32" s="389"/>
      <c r="G32" s="663"/>
      <c r="H32" s="652"/>
      <c r="I32" s="635">
        <f t="shared" si="1"/>
      </c>
      <c r="J32" s="636"/>
      <c r="K32" s="635">
        <f t="shared" si="2"/>
      </c>
      <c r="L32" s="635">
        <f t="shared" si="3"/>
      </c>
      <c r="M32" s="637">
        <f t="shared" si="0"/>
      </c>
      <c r="N32" s="160">
        <v>20</v>
      </c>
      <c r="O32" s="439">
        <v>8</v>
      </c>
    </row>
    <row r="33" spans="1:14" ht="21" customHeight="1" thickBot="1">
      <c r="A33" s="1070" t="s">
        <v>26</v>
      </c>
      <c r="B33" s="1071"/>
      <c r="C33" s="1071"/>
      <c r="D33" s="1071"/>
      <c r="E33" s="1071"/>
      <c r="F33" s="1071"/>
      <c r="G33" s="1071"/>
      <c r="H33" s="1071"/>
      <c r="I33" s="1071"/>
      <c r="J33" s="403"/>
      <c r="K33" s="631">
        <f>SUM(K13:K32)</f>
        <v>270000</v>
      </c>
      <c r="L33" s="631">
        <f>SUM(L13:L32)</f>
        <v>250000</v>
      </c>
      <c r="M33" s="625">
        <f>SUM(M13:M32)</f>
        <v>250000</v>
      </c>
      <c r="N33" s="83"/>
    </row>
    <row r="34" spans="1:14" ht="13.5" customHeight="1">
      <c r="A34" s="412"/>
      <c r="N34" s="80"/>
    </row>
    <row r="35" spans="1:14" ht="13.5" customHeight="1">
      <c r="A35" s="412"/>
      <c r="B35" s="8" t="s">
        <v>33</v>
      </c>
      <c r="D35" s="412"/>
      <c r="E35" s="401" t="s">
        <v>107</v>
      </c>
      <c r="N35" s="80"/>
    </row>
    <row r="36" ht="13.5" customHeight="1">
      <c r="E36" s="401" t="s">
        <v>108</v>
      </c>
    </row>
    <row r="37" spans="2:5" ht="13.5" customHeight="1">
      <c r="B37" s="8" t="s">
        <v>34</v>
      </c>
      <c r="E37" s="401" t="s">
        <v>109</v>
      </c>
    </row>
    <row r="38" spans="2:5" ht="13.5" customHeight="1">
      <c r="B38" s="8" t="s">
        <v>35</v>
      </c>
      <c r="E38" s="401" t="s">
        <v>110</v>
      </c>
    </row>
  </sheetData>
  <sheetProtection sheet="1" objects="1" scenarios="1"/>
  <mergeCells count="27">
    <mergeCell ref="B20:D20"/>
    <mergeCell ref="B21:D21"/>
    <mergeCell ref="B24:D24"/>
    <mergeCell ref="B31:D31"/>
    <mergeCell ref="B22:D22"/>
    <mergeCell ref="B23:D23"/>
    <mergeCell ref="B32:D32"/>
    <mergeCell ref="A33:I33"/>
    <mergeCell ref="B25:D25"/>
    <mergeCell ref="B26:D26"/>
    <mergeCell ref="B27:D27"/>
    <mergeCell ref="B28:D28"/>
    <mergeCell ref="B29:D29"/>
    <mergeCell ref="B30:D30"/>
    <mergeCell ref="B13:D13"/>
    <mergeCell ref="B16:D16"/>
    <mergeCell ref="B17:D17"/>
    <mergeCell ref="B18:D18"/>
    <mergeCell ref="B19:D19"/>
    <mergeCell ref="B14:D14"/>
    <mergeCell ref="B15:D15"/>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5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6.xml><?xml version="1.0" encoding="utf-8"?>
<worksheet xmlns="http://schemas.openxmlformats.org/spreadsheetml/2006/main" xmlns:r="http://schemas.openxmlformats.org/officeDocument/2006/relationships">
  <sheetPr codeName="Sheet22">
    <tabColor rgb="FFFFFF00"/>
    <pageSetUpPr fitToPage="1"/>
  </sheetPr>
  <dimension ref="A1:R72"/>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2" width="4.140625" style="100" customWidth="1"/>
    <col min="3" max="3" width="16.00390625" style="8" customWidth="1"/>
    <col min="4" max="4" width="14.00390625" style="8" customWidth="1"/>
    <col min="5" max="5" width="14.00390625" style="1" customWidth="1"/>
    <col min="6" max="6" width="14.00390625" style="8" customWidth="1"/>
    <col min="7" max="7" width="20.140625" style="8" customWidth="1"/>
    <col min="8" max="8" width="18.7109375" style="100" customWidth="1"/>
    <col min="9" max="9" width="9.00390625" style="2" customWidth="1"/>
    <col min="10" max="16384" width="9.00390625" style="100" customWidth="1"/>
  </cols>
  <sheetData>
    <row r="1" spans="1:18" ht="13.5">
      <c r="A1" s="3"/>
      <c r="C1" s="100"/>
      <c r="D1" s="100"/>
      <c r="E1" s="4"/>
      <c r="F1" s="7"/>
      <c r="H1" s="13"/>
      <c r="I1" s="8"/>
      <c r="J1" s="8"/>
      <c r="K1" s="8"/>
      <c r="L1" s="8"/>
      <c r="M1" s="8"/>
      <c r="N1" s="3"/>
      <c r="O1" s="3"/>
      <c r="P1" s="3"/>
      <c r="Q1" s="2"/>
      <c r="R1" s="2"/>
    </row>
    <row r="2" spans="1:18" ht="13.5">
      <c r="A2" s="3"/>
      <c r="B2" s="767" t="s">
        <v>852</v>
      </c>
      <c r="C2" s="100"/>
      <c r="D2" s="100"/>
      <c r="E2" s="4"/>
      <c r="F2" s="7"/>
      <c r="H2" s="13"/>
      <c r="I2" s="8"/>
      <c r="J2" s="8"/>
      <c r="K2" s="8"/>
      <c r="L2" s="8"/>
      <c r="M2" s="8"/>
      <c r="N2" s="3"/>
      <c r="O2" s="3"/>
      <c r="P2" s="3"/>
      <c r="Q2" s="2"/>
      <c r="R2" s="2"/>
    </row>
    <row r="3" spans="1:18" ht="13.5">
      <c r="A3" s="3"/>
      <c r="C3" s="100"/>
      <c r="D3" s="100"/>
      <c r="E3" s="4"/>
      <c r="F3" s="7"/>
      <c r="H3" s="13"/>
      <c r="I3" s="8"/>
      <c r="J3" s="8"/>
      <c r="K3" s="8"/>
      <c r="L3" s="8"/>
      <c r="M3" s="8"/>
      <c r="N3" s="3"/>
      <c r="O3" s="3"/>
      <c r="P3" s="3"/>
      <c r="Q3" s="2"/>
      <c r="R3" s="2"/>
    </row>
    <row r="4" spans="2:8" ht="18" customHeight="1">
      <c r="B4" s="100" t="s">
        <v>941</v>
      </c>
      <c r="D4" s="1"/>
      <c r="E4" s="8"/>
      <c r="G4" s="100"/>
      <c r="H4" s="103"/>
    </row>
    <row r="5" spans="3:8" ht="18" customHeight="1">
      <c r="C5" s="1077" t="s">
        <v>92</v>
      </c>
      <c r="D5" s="1077"/>
      <c r="E5" s="1077"/>
      <c r="F5" s="1077"/>
      <c r="G5" s="1077"/>
      <c r="H5" s="12"/>
    </row>
    <row r="6" spans="3:8" ht="18" customHeight="1">
      <c r="C6" s="140"/>
      <c r="D6" s="140"/>
      <c r="E6" s="140"/>
      <c r="F6" s="140"/>
      <c r="G6" s="140"/>
      <c r="H6" s="12"/>
    </row>
    <row r="7" spans="3:8" ht="18" customHeight="1">
      <c r="C7" s="33"/>
      <c r="D7" s="33"/>
      <c r="E7" s="34"/>
      <c r="F7" s="755" t="s">
        <v>42</v>
      </c>
      <c r="G7" s="155" t="str">
        <f>IF('基本情報入力（使い方）'!$C$10="","",'基本情報入力（使い方）'!$C$10)</f>
        <v>Ｂ金属株式会社</v>
      </c>
      <c r="H7" s="145"/>
    </row>
    <row r="8" spans="3:8" ht="18" customHeight="1">
      <c r="C8" s="33"/>
      <c r="D8" s="33"/>
      <c r="E8" s="33"/>
      <c r="F8" s="35"/>
      <c r="G8" s="33"/>
      <c r="H8" s="2"/>
    </row>
    <row r="9" spans="2:8" ht="18" customHeight="1">
      <c r="B9" s="141" t="s">
        <v>93</v>
      </c>
      <c r="C9" s="70" t="s">
        <v>43</v>
      </c>
      <c r="D9" s="71" t="s">
        <v>44</v>
      </c>
      <c r="E9" s="71" t="s">
        <v>45</v>
      </c>
      <c r="F9" s="70" t="s">
        <v>46</v>
      </c>
      <c r="G9" s="71" t="s">
        <v>47</v>
      </c>
      <c r="H9" s="72" t="s">
        <v>113</v>
      </c>
    </row>
    <row r="10" spans="2:9" ht="18" customHeight="1">
      <c r="B10" s="66">
        <v>1</v>
      </c>
      <c r="C10" s="392" t="s">
        <v>891</v>
      </c>
      <c r="D10" s="393" t="s">
        <v>892</v>
      </c>
      <c r="E10" s="393" t="s">
        <v>893</v>
      </c>
      <c r="F10" s="392" t="s">
        <v>894</v>
      </c>
      <c r="G10" s="390">
        <v>34790</v>
      </c>
      <c r="H10" s="391">
        <v>27395</v>
      </c>
      <c r="I10" s="67"/>
    </row>
    <row r="11" spans="2:9" ht="18" customHeight="1">
      <c r="B11" s="66">
        <v>2</v>
      </c>
      <c r="C11" s="392" t="s">
        <v>891</v>
      </c>
      <c r="D11" s="393" t="s">
        <v>895</v>
      </c>
      <c r="E11" s="393" t="s">
        <v>893</v>
      </c>
      <c r="F11" s="392"/>
      <c r="G11" s="390">
        <v>36617</v>
      </c>
      <c r="H11" s="391">
        <v>26865</v>
      </c>
      <c r="I11" s="67"/>
    </row>
    <row r="12" spans="2:9" ht="18" customHeight="1">
      <c r="B12" s="66">
        <v>3</v>
      </c>
      <c r="C12" s="392" t="s">
        <v>891</v>
      </c>
      <c r="D12" s="393" t="s">
        <v>896</v>
      </c>
      <c r="E12" s="393" t="s">
        <v>893</v>
      </c>
      <c r="F12" s="392" t="s">
        <v>897</v>
      </c>
      <c r="G12" s="390">
        <v>29677</v>
      </c>
      <c r="H12" s="391">
        <v>22148</v>
      </c>
      <c r="I12" s="67"/>
    </row>
    <row r="13" spans="2:9" ht="18" customHeight="1">
      <c r="B13" s="66">
        <v>4</v>
      </c>
      <c r="C13" s="392" t="s">
        <v>891</v>
      </c>
      <c r="D13" s="393" t="s">
        <v>898</v>
      </c>
      <c r="E13" s="393" t="s">
        <v>893</v>
      </c>
      <c r="F13" s="392"/>
      <c r="G13" s="390">
        <v>36617</v>
      </c>
      <c r="H13" s="391">
        <v>25742</v>
      </c>
      <c r="I13" s="67"/>
    </row>
    <row r="14" spans="2:9" ht="18" customHeight="1">
      <c r="B14" s="66">
        <v>5</v>
      </c>
      <c r="C14" s="392" t="s">
        <v>891</v>
      </c>
      <c r="D14" s="393" t="s">
        <v>899</v>
      </c>
      <c r="E14" s="393" t="s">
        <v>893</v>
      </c>
      <c r="F14" s="392" t="s">
        <v>900</v>
      </c>
      <c r="G14" s="390">
        <v>34790</v>
      </c>
      <c r="H14" s="391">
        <v>25743</v>
      </c>
      <c r="I14" s="67"/>
    </row>
    <row r="15" spans="2:9" ht="18" customHeight="1">
      <c r="B15" s="66">
        <v>6</v>
      </c>
      <c r="C15" s="392" t="s">
        <v>901</v>
      </c>
      <c r="D15" s="393" t="s">
        <v>902</v>
      </c>
      <c r="E15" s="393" t="s">
        <v>903</v>
      </c>
      <c r="F15" s="392"/>
      <c r="G15" s="390">
        <v>36617</v>
      </c>
      <c r="H15" s="391">
        <v>25744</v>
      </c>
      <c r="I15" s="67"/>
    </row>
    <row r="16" spans="2:9" ht="18" customHeight="1">
      <c r="B16" s="66">
        <v>7</v>
      </c>
      <c r="C16" s="392" t="s">
        <v>901</v>
      </c>
      <c r="D16" s="393" t="s">
        <v>904</v>
      </c>
      <c r="E16" s="393" t="s">
        <v>903</v>
      </c>
      <c r="F16" s="392"/>
      <c r="G16" s="390">
        <v>36617</v>
      </c>
      <c r="H16" s="391">
        <v>25745</v>
      </c>
      <c r="I16" s="67"/>
    </row>
    <row r="17" spans="2:9" ht="18" customHeight="1">
      <c r="B17" s="66">
        <v>8</v>
      </c>
      <c r="C17" s="392" t="s">
        <v>901</v>
      </c>
      <c r="D17" s="393" t="s">
        <v>905</v>
      </c>
      <c r="E17" s="393" t="s">
        <v>903</v>
      </c>
      <c r="F17" s="392" t="s">
        <v>894</v>
      </c>
      <c r="G17" s="390">
        <v>33329</v>
      </c>
      <c r="H17" s="391">
        <v>25746</v>
      </c>
      <c r="I17" s="67"/>
    </row>
    <row r="18" spans="2:9" ht="18" customHeight="1">
      <c r="B18" s="66">
        <v>9</v>
      </c>
      <c r="C18" s="392" t="s">
        <v>901</v>
      </c>
      <c r="D18" s="393" t="s">
        <v>906</v>
      </c>
      <c r="E18" s="393" t="s">
        <v>903</v>
      </c>
      <c r="F18" s="392"/>
      <c r="G18" s="390">
        <v>36617</v>
      </c>
      <c r="H18" s="391">
        <v>25747</v>
      </c>
      <c r="I18" s="67"/>
    </row>
    <row r="19" spans="2:9" ht="18" customHeight="1">
      <c r="B19" s="66">
        <v>10</v>
      </c>
      <c r="C19" s="392" t="s">
        <v>901</v>
      </c>
      <c r="D19" s="393" t="s">
        <v>907</v>
      </c>
      <c r="E19" s="393" t="s">
        <v>903</v>
      </c>
      <c r="F19" s="392" t="s">
        <v>900</v>
      </c>
      <c r="G19" s="390">
        <v>34790</v>
      </c>
      <c r="H19" s="391">
        <v>25748</v>
      </c>
      <c r="I19" s="67"/>
    </row>
    <row r="20" spans="2:9" ht="18" customHeight="1">
      <c r="B20" s="66">
        <v>11</v>
      </c>
      <c r="C20" s="392" t="s">
        <v>901</v>
      </c>
      <c r="D20" s="393" t="s">
        <v>908</v>
      </c>
      <c r="E20" s="393" t="s">
        <v>903</v>
      </c>
      <c r="F20" s="392"/>
      <c r="G20" s="390">
        <v>36617</v>
      </c>
      <c r="H20" s="391">
        <v>25749</v>
      </c>
      <c r="I20" s="67"/>
    </row>
    <row r="21" spans="2:9" ht="18" customHeight="1">
      <c r="B21" s="66">
        <v>12</v>
      </c>
      <c r="C21" s="392" t="s">
        <v>901</v>
      </c>
      <c r="D21" s="393" t="s">
        <v>909</v>
      </c>
      <c r="E21" s="393" t="s">
        <v>903</v>
      </c>
      <c r="F21" s="392" t="s">
        <v>897</v>
      </c>
      <c r="G21" s="390">
        <v>32964</v>
      </c>
      <c r="H21" s="391">
        <v>23924</v>
      </c>
      <c r="I21" s="67"/>
    </row>
    <row r="22" spans="1:10" ht="18" customHeight="1">
      <c r="A22" s="1"/>
      <c r="C22" s="1"/>
      <c r="D22" s="1"/>
      <c r="F22" s="1"/>
      <c r="G22" s="1"/>
      <c r="I22" s="68"/>
      <c r="J22" s="1"/>
    </row>
    <row r="23" spans="1:10" ht="18" customHeight="1">
      <c r="A23" s="1"/>
      <c r="C23" s="36" t="s">
        <v>61</v>
      </c>
      <c r="D23" s="1"/>
      <c r="F23" s="1"/>
      <c r="G23" s="1" t="s">
        <v>143</v>
      </c>
      <c r="I23" s="68"/>
      <c r="J23" s="1"/>
    </row>
    <row r="24" spans="1:10" ht="18" customHeight="1">
      <c r="A24" s="1"/>
      <c r="C24" s="36"/>
      <c r="D24" s="1"/>
      <c r="F24" s="1"/>
      <c r="G24" s="1"/>
      <c r="H24" s="12"/>
      <c r="I24" s="68"/>
      <c r="J24" s="1"/>
    </row>
    <row r="25" spans="1:10" ht="18" customHeight="1">
      <c r="A25" s="1"/>
      <c r="B25" s="1078" t="s">
        <v>93</v>
      </c>
      <c r="C25" s="37"/>
      <c r="D25" s="38" t="s">
        <v>58</v>
      </c>
      <c r="E25" s="38" t="s">
        <v>59</v>
      </c>
      <c r="F25" s="38" t="s">
        <v>62</v>
      </c>
      <c r="G25" s="39" t="s">
        <v>63</v>
      </c>
      <c r="H25" s="12"/>
      <c r="I25" s="68"/>
      <c r="J25" s="1"/>
    </row>
    <row r="26" spans="1:10" ht="39">
      <c r="A26" s="1"/>
      <c r="B26" s="1078"/>
      <c r="C26" s="40" t="s">
        <v>44</v>
      </c>
      <c r="D26" s="41" t="s">
        <v>48</v>
      </c>
      <c r="E26" s="41" t="s">
        <v>652</v>
      </c>
      <c r="F26" s="41" t="s">
        <v>49</v>
      </c>
      <c r="G26" s="41" t="s">
        <v>50</v>
      </c>
      <c r="H26" s="12"/>
      <c r="I26" s="68"/>
      <c r="J26" s="1"/>
    </row>
    <row r="27" spans="1:10" ht="18" customHeight="1">
      <c r="A27" s="1"/>
      <c r="B27" s="73">
        <f aca="true" t="shared" si="0" ref="B27:B38">IF(B10="","",B10)</f>
        <v>1</v>
      </c>
      <c r="C27" s="97" t="str">
        <f aca="true" t="shared" si="1" ref="C27:C38">IF(D10="","",D10)</f>
        <v>山田　美子</v>
      </c>
      <c r="D27" s="94">
        <f>IF(C27="","",'賃金台帳(1)'!$G$52)</f>
        <v>5929555</v>
      </c>
      <c r="E27" s="94">
        <f>IF(C27="","",'賃金台帳(1)'!$J$52)</f>
        <v>932760</v>
      </c>
      <c r="F27" s="95">
        <f>IF(C27="","",'総労働時間算定表(1)'!$H$8)</f>
        <v>1920</v>
      </c>
      <c r="G27" s="74">
        <f>IF(C27="","",IF((ROUNDDOWN((D27+E27)/F27,0))&gt;=5000,5000,'賃金台帳(1)'!$Q$52))</f>
        <v>3574</v>
      </c>
      <c r="H27" s="12"/>
      <c r="I27" s="68"/>
      <c r="J27" s="1"/>
    </row>
    <row r="28" spans="1:10" ht="18" customHeight="1">
      <c r="A28" s="1"/>
      <c r="B28" s="73">
        <f t="shared" si="0"/>
        <v>2</v>
      </c>
      <c r="C28" s="97" t="str">
        <f t="shared" si="1"/>
        <v>田中　丑男</v>
      </c>
      <c r="D28" s="94">
        <f>IF(C28="","",'賃金台帳(2)'!$G$52)</f>
        <v>0</v>
      </c>
      <c r="E28" s="94">
        <f>IF(C28="","",'賃金台帳(2)'!$J$52)</f>
        <v>0</v>
      </c>
      <c r="F28" s="95">
        <f>IF(C28="","",'総労働時間算定表(1)'!$H$8)</f>
        <v>1920</v>
      </c>
      <c r="G28" s="74">
        <f>IF(C28="","",IF((ROUNDDOWN((D28+E28)/F28,0))&gt;=5000,5000,'賃金台帳(2)'!$Q$52))</f>
        <v>0</v>
      </c>
      <c r="H28" s="42"/>
      <c r="I28" s="68"/>
      <c r="J28" s="1"/>
    </row>
    <row r="29" spans="1:10" ht="18" customHeight="1">
      <c r="A29" s="1"/>
      <c r="B29" s="73">
        <f t="shared" si="0"/>
        <v>3</v>
      </c>
      <c r="C29" s="97" t="str">
        <f t="shared" si="1"/>
        <v>加藤　寅乃介</v>
      </c>
      <c r="D29" s="94">
        <f>IF(C29="","",'賃金台帳(3)'!$G$52)</f>
        <v>0</v>
      </c>
      <c r="E29" s="94">
        <f>IF(C29="","",'賃金台帳(3)'!$J$52)</f>
        <v>0</v>
      </c>
      <c r="F29" s="95">
        <f>IF(C29="","",'総労働時間算定表(1)'!$H$8)</f>
        <v>1920</v>
      </c>
      <c r="G29" s="74">
        <f>IF(C29="","",IF((ROUNDDOWN((D29+E29)/F29,0))&gt;=5000,5000,'賃金台帳(3)'!$Q$52))</f>
        <v>0</v>
      </c>
      <c r="H29" s="12"/>
      <c r="I29" s="68"/>
      <c r="J29" s="1"/>
    </row>
    <row r="30" spans="1:10" ht="18" customHeight="1">
      <c r="A30" s="1"/>
      <c r="B30" s="73">
        <f t="shared" si="0"/>
        <v>4</v>
      </c>
      <c r="C30" s="97" t="str">
        <f t="shared" si="1"/>
        <v>山本　卯助</v>
      </c>
      <c r="D30" s="94">
        <f>IF(C30="","",'賃金台帳(4)'!$G$52)</f>
        <v>0</v>
      </c>
      <c r="E30" s="94">
        <f>IF(C30="","",'賃金台帳(4)'!$J$52)</f>
        <v>0</v>
      </c>
      <c r="F30" s="95">
        <f>IF(C30="","",'総労働時間算定表(1)'!$H$8)</f>
        <v>1920</v>
      </c>
      <c r="G30" s="74">
        <f>IF(C30="","",IF((ROUNDDOWN((D30+E30)/F30,0))&gt;=5000,5000,'賃金台帳(4)'!$Q$52))</f>
        <v>0</v>
      </c>
      <c r="H30" s="42"/>
      <c r="I30" s="68"/>
      <c r="J30" s="1"/>
    </row>
    <row r="31" spans="1:10" ht="18" customHeight="1">
      <c r="A31" s="1"/>
      <c r="B31" s="73">
        <f t="shared" si="0"/>
        <v>5</v>
      </c>
      <c r="C31" s="97" t="str">
        <f t="shared" si="1"/>
        <v>佐藤　辰一郎</v>
      </c>
      <c r="D31" s="94">
        <f>IF(C31="","",'賃金台帳(5)'!$G$52)</f>
        <v>0</v>
      </c>
      <c r="E31" s="94">
        <f>IF(C31="","",'賃金台帳(5)'!$J$52)</f>
        <v>0</v>
      </c>
      <c r="F31" s="95">
        <f>IF(C31="","",'総労働時間算定表(1)'!$H$8)</f>
        <v>1920</v>
      </c>
      <c r="G31" s="74">
        <f>IF(C31="","",IF((ROUNDDOWN((D31+E31)/F31,0))&gt;=5000,5000,'賃金台帳(5)'!$Q$52))</f>
        <v>0</v>
      </c>
      <c r="H31" s="42"/>
      <c r="I31" s="68"/>
      <c r="J31" s="1"/>
    </row>
    <row r="32" spans="1:10" ht="18" customHeight="1">
      <c r="A32" s="1"/>
      <c r="B32" s="73">
        <f t="shared" si="0"/>
        <v>6</v>
      </c>
      <c r="C32" s="97" t="str">
        <f t="shared" si="1"/>
        <v>渡辺　克巳</v>
      </c>
      <c r="D32" s="94">
        <f>IF(C32="","",'賃金台帳(6)'!$G$52)</f>
        <v>0</v>
      </c>
      <c r="E32" s="94">
        <f>IF(C32="","",'賃金台帳(6)'!$J$52)</f>
        <v>0</v>
      </c>
      <c r="F32" s="95">
        <f>IF(C32="","",'総労働時間算定表(1)'!$H$8)</f>
        <v>1920</v>
      </c>
      <c r="G32" s="74">
        <f>IF(C32="","",IF((ROUNDDOWN((D32+E32)/F32,0))&gt;=5000,5000,'賃金台帳(6)'!$Q$52))</f>
        <v>0</v>
      </c>
      <c r="H32" s="42"/>
      <c r="I32" s="68"/>
      <c r="J32" s="1"/>
    </row>
    <row r="33" spans="1:10" ht="18" customHeight="1">
      <c r="A33" s="1"/>
      <c r="B33" s="73">
        <f t="shared" si="0"/>
        <v>7</v>
      </c>
      <c r="C33" s="97" t="str">
        <f t="shared" si="1"/>
        <v>後藤　午太郎</v>
      </c>
      <c r="D33" s="94">
        <f>IF(C33="","",'賃金台帳(7)'!$G$52)</f>
        <v>0</v>
      </c>
      <c r="E33" s="94">
        <f>IF(C33="","",'賃金台帳(7)'!$J$52)</f>
        <v>0</v>
      </c>
      <c r="F33" s="95">
        <f>IF(C33="","",'総労働時間算定表(1)'!$H$8)</f>
        <v>1920</v>
      </c>
      <c r="G33" s="74">
        <f>IF(C33="","",IF((ROUNDDOWN((D33+E33)/F33,0))&gt;=5000,5000,'賃金台帳(7)'!$Q$52))</f>
        <v>0</v>
      </c>
      <c r="H33" s="12"/>
      <c r="I33" s="68"/>
      <c r="J33" s="1"/>
    </row>
    <row r="34" spans="1:10" ht="18" customHeight="1">
      <c r="A34" s="1"/>
      <c r="B34" s="73">
        <f t="shared" si="0"/>
        <v>8</v>
      </c>
      <c r="C34" s="97" t="str">
        <f t="shared" si="1"/>
        <v>太田　未来</v>
      </c>
      <c r="D34" s="94">
        <f>IF(C34="","",'賃金台帳(8)'!$G$52)</f>
        <v>0</v>
      </c>
      <c r="E34" s="94">
        <f>IF(C34="","",'賃金台帳(8)'!$J$52)</f>
        <v>0</v>
      </c>
      <c r="F34" s="95">
        <f>IF(C34="","",'総労働時間算定表(1)'!$H$8)</f>
        <v>1920</v>
      </c>
      <c r="G34" s="74">
        <f>IF(C34="","",IF((ROUNDDOWN((D34+E34)/F34,0))&gt;=5000,5000,'賃金台帳(8)'!$Q$52))</f>
        <v>0</v>
      </c>
      <c r="H34" s="42"/>
      <c r="I34" s="68"/>
      <c r="J34" s="1"/>
    </row>
    <row r="35" spans="1:10" ht="18" customHeight="1">
      <c r="A35" s="1"/>
      <c r="B35" s="73">
        <f t="shared" si="0"/>
        <v>9</v>
      </c>
      <c r="C35" s="97" t="str">
        <f t="shared" si="1"/>
        <v>原田　申也</v>
      </c>
      <c r="D35" s="94">
        <f>IF(C35="","",'賃金台帳(9)'!$G$52)</f>
        <v>0</v>
      </c>
      <c r="E35" s="94">
        <f>IF(C35="","",'賃金台帳(9)'!$J$52)</f>
        <v>0</v>
      </c>
      <c r="F35" s="95">
        <f>IF(C35="","",'総労働時間算定表(1)'!$H$8)</f>
        <v>1920</v>
      </c>
      <c r="G35" s="74">
        <f>IF(C35="","",IF((ROUNDDOWN((D35+E35)/F35,0))&gt;=5000,5000,'賃金台帳(9)'!$Q$52))</f>
        <v>0</v>
      </c>
      <c r="H35" s="12"/>
      <c r="I35" s="68"/>
      <c r="J35" s="1"/>
    </row>
    <row r="36" spans="1:10" ht="18" customHeight="1">
      <c r="A36" s="1"/>
      <c r="B36" s="73">
        <f t="shared" si="0"/>
        <v>10</v>
      </c>
      <c r="C36" s="97" t="str">
        <f t="shared" si="1"/>
        <v>西村　酉汰</v>
      </c>
      <c r="D36" s="94">
        <f>IF(C36="","",'賃金台帳(10)'!$G$52)</f>
        <v>0</v>
      </c>
      <c r="E36" s="94">
        <f>IF(C36="","",'賃金台帳(10)'!$J$52)</f>
        <v>0</v>
      </c>
      <c r="F36" s="95">
        <f>IF(C36="","",'総労働時間算定表(1)'!$H$8)</f>
        <v>1920</v>
      </c>
      <c r="G36" s="74">
        <f>IF(C36="","",IF((ROUNDDOWN((D36+E36)/F36,0))&gt;=5000,5000,'賃金台帳(10)'!$Q$52))</f>
        <v>0</v>
      </c>
      <c r="H36" s="42"/>
      <c r="I36" s="68"/>
      <c r="J36" s="1"/>
    </row>
    <row r="37" spans="1:10" ht="18" customHeight="1">
      <c r="A37" s="1"/>
      <c r="B37" s="73">
        <f t="shared" si="0"/>
        <v>11</v>
      </c>
      <c r="C37" s="97" t="str">
        <f t="shared" si="1"/>
        <v>斎藤　戌</v>
      </c>
      <c r="D37" s="94">
        <f>IF(C37="","",'賃金台帳(11)'!$G$52)</f>
        <v>0</v>
      </c>
      <c r="E37" s="94">
        <f>IF(C37="","",'賃金台帳(11)'!$J$52)</f>
        <v>0</v>
      </c>
      <c r="F37" s="95">
        <f>IF(C37="","",'総労働時間算定表(1)'!$H$8)</f>
        <v>1920</v>
      </c>
      <c r="G37" s="74">
        <f>IF(C37="","",IF((ROUNDDOWN((D37+E37)/F37,0))&gt;=5000,5000,'賃金台帳(11)'!$Q$52))</f>
        <v>0</v>
      </c>
      <c r="H37" s="42"/>
      <c r="I37" s="68"/>
      <c r="J37" s="1"/>
    </row>
    <row r="38" spans="1:10" ht="18" customHeight="1">
      <c r="A38" s="1"/>
      <c r="B38" s="73">
        <f t="shared" si="0"/>
        <v>12</v>
      </c>
      <c r="C38" s="97" t="str">
        <f t="shared" si="1"/>
        <v>酒井　亥</v>
      </c>
      <c r="D38" s="94">
        <f>IF(C38="","",'賃金台帳(12)'!$G$52)</f>
        <v>0</v>
      </c>
      <c r="E38" s="94">
        <f>IF(C38="","",'賃金台帳(12)'!$J$52)</f>
        <v>0</v>
      </c>
      <c r="F38" s="95">
        <f>IF(C38="","",'総労働時間算定表(1)'!$H$8)</f>
        <v>1920</v>
      </c>
      <c r="G38" s="74">
        <f>IF(C38="","",IF((ROUNDDOWN((D38+E38)/F38,0))&gt;=5000,5000,'賃金台帳(12)'!$Q$52))</f>
        <v>0</v>
      </c>
      <c r="H38" s="42"/>
      <c r="I38" s="68"/>
      <c r="J38" s="1"/>
    </row>
    <row r="39" spans="1:9" s="1" customFormat="1" ht="18" customHeight="1">
      <c r="A39" s="100"/>
      <c r="B39" s="100"/>
      <c r="C39" s="63" t="s">
        <v>111</v>
      </c>
      <c r="H39" s="100"/>
      <c r="I39" s="68"/>
    </row>
    <row r="40" spans="1:9" s="1" customFormat="1" ht="18" customHeight="1">
      <c r="A40" s="100"/>
      <c r="B40" s="100"/>
      <c r="C40" s="63" t="s">
        <v>642</v>
      </c>
      <c r="D40" s="8"/>
      <c r="F40" s="8"/>
      <c r="G40" s="8"/>
      <c r="H40" s="100"/>
      <c r="I40" s="68"/>
    </row>
    <row r="41" spans="1:9" s="1" customFormat="1" ht="18" customHeight="1">
      <c r="A41" s="100"/>
      <c r="B41" s="100"/>
      <c r="C41" s="63" t="s">
        <v>112</v>
      </c>
      <c r="D41" s="8"/>
      <c r="F41" s="8"/>
      <c r="G41" s="8"/>
      <c r="H41" s="100"/>
      <c r="I41" s="68"/>
    </row>
    <row r="42" spans="1:10" s="1" customFormat="1" ht="18" customHeight="1">
      <c r="A42" s="100"/>
      <c r="B42" s="100"/>
      <c r="C42" s="63" t="s">
        <v>729</v>
      </c>
      <c r="D42" s="8"/>
      <c r="F42" s="8"/>
      <c r="G42" s="8"/>
      <c r="H42" s="100"/>
      <c r="I42" s="2"/>
      <c r="J42" s="100"/>
    </row>
    <row r="43" spans="1:9" s="1" customFormat="1" ht="13.5">
      <c r="A43" s="100"/>
      <c r="B43" s="100"/>
      <c r="C43" s="8"/>
      <c r="D43" s="8"/>
      <c r="F43" s="8"/>
      <c r="G43" s="8"/>
      <c r="H43" s="100"/>
      <c r="I43" s="68"/>
    </row>
    <row r="44" spans="1:9" s="1" customFormat="1" ht="13.5">
      <c r="A44" s="6"/>
      <c r="B44" s="100"/>
      <c r="C44" s="8"/>
      <c r="D44" s="8"/>
      <c r="F44" s="8"/>
      <c r="G44" s="8"/>
      <c r="H44" s="100"/>
      <c r="I44" s="68"/>
    </row>
    <row r="45" spans="1:9" s="1" customFormat="1" ht="13.5">
      <c r="A45" s="6"/>
      <c r="B45" s="100"/>
      <c r="C45" s="8"/>
      <c r="D45" s="8"/>
      <c r="F45" s="8"/>
      <c r="G45" s="8"/>
      <c r="H45" s="100"/>
      <c r="I45" s="68"/>
    </row>
    <row r="46" spans="1:10" s="1" customFormat="1" ht="13.5">
      <c r="A46" s="100"/>
      <c r="B46" s="100"/>
      <c r="C46" s="8"/>
      <c r="D46" s="8"/>
      <c r="F46" s="8"/>
      <c r="G46" s="8"/>
      <c r="H46" s="100"/>
      <c r="I46" s="2"/>
      <c r="J46" s="100"/>
    </row>
    <row r="47" spans="1:9" s="1" customFormat="1" ht="13.5">
      <c r="A47" s="100"/>
      <c r="B47" s="100"/>
      <c r="C47" s="8"/>
      <c r="D47" s="8"/>
      <c r="F47" s="8"/>
      <c r="G47" s="8"/>
      <c r="H47" s="100"/>
      <c r="I47" s="68"/>
    </row>
    <row r="48" spans="1:9" s="1" customFormat="1" ht="13.5">
      <c r="A48" s="100"/>
      <c r="B48" s="100"/>
      <c r="C48" s="8"/>
      <c r="D48" s="8"/>
      <c r="F48" s="8"/>
      <c r="G48" s="8"/>
      <c r="H48" s="100"/>
      <c r="I48" s="68"/>
    </row>
    <row r="49" spans="1:9" s="1" customFormat="1" ht="13.5">
      <c r="A49" s="6"/>
      <c r="B49" s="100"/>
      <c r="C49" s="8"/>
      <c r="D49" s="8"/>
      <c r="F49" s="8"/>
      <c r="G49" s="8"/>
      <c r="H49" s="100"/>
      <c r="I49" s="68"/>
    </row>
    <row r="50" spans="1:9" s="1" customFormat="1" ht="13.5">
      <c r="A50" s="6"/>
      <c r="B50" s="100"/>
      <c r="C50" s="8"/>
      <c r="D50" s="8"/>
      <c r="F50" s="8"/>
      <c r="G50" s="8"/>
      <c r="H50" s="100"/>
      <c r="I50" s="68"/>
    </row>
    <row r="51" spans="1:10" s="1" customFormat="1" ht="13.5">
      <c r="A51" s="100"/>
      <c r="B51" s="100"/>
      <c r="C51" s="8"/>
      <c r="D51" s="8"/>
      <c r="F51" s="8"/>
      <c r="G51" s="8"/>
      <c r="H51" s="100"/>
      <c r="I51" s="2"/>
      <c r="J51" s="100"/>
    </row>
    <row r="52" spans="1:10" s="1" customFormat="1" ht="13.5">
      <c r="A52" s="100"/>
      <c r="B52" s="100"/>
      <c r="C52" s="8"/>
      <c r="D52" s="8"/>
      <c r="F52" s="8"/>
      <c r="G52" s="8"/>
      <c r="H52" s="100"/>
      <c r="I52" s="2"/>
      <c r="J52" s="100"/>
    </row>
    <row r="53" spans="1:10" s="1" customFormat="1" ht="13.5">
      <c r="A53" s="100"/>
      <c r="B53" s="100"/>
      <c r="C53" s="8"/>
      <c r="D53" s="8"/>
      <c r="F53" s="8"/>
      <c r="G53" s="8"/>
      <c r="H53" s="100"/>
      <c r="I53" s="2"/>
      <c r="J53" s="100"/>
    </row>
    <row r="55" spans="1:10" s="1" customFormat="1" ht="13.5">
      <c r="A55" s="100"/>
      <c r="B55" s="100"/>
      <c r="C55" s="8"/>
      <c r="D55" s="8"/>
      <c r="F55" s="8"/>
      <c r="G55" s="8"/>
      <c r="H55" s="100"/>
      <c r="I55" s="2"/>
      <c r="J55" s="100"/>
    </row>
    <row r="56" spans="1:10" s="1" customFormat="1" ht="13.5">
      <c r="A56" s="100"/>
      <c r="B56" s="100"/>
      <c r="C56" s="8"/>
      <c r="D56" s="8"/>
      <c r="F56" s="8"/>
      <c r="G56" s="8"/>
      <c r="H56" s="100"/>
      <c r="I56" s="69"/>
      <c r="J56" s="6"/>
    </row>
    <row r="57" spans="1:10" s="1" customFormat="1" ht="13.5">
      <c r="A57" s="100"/>
      <c r="B57" s="100"/>
      <c r="C57" s="8"/>
      <c r="D57" s="8"/>
      <c r="F57" s="8"/>
      <c r="G57" s="8"/>
      <c r="H57" s="100"/>
      <c r="I57" s="69"/>
      <c r="J57" s="6"/>
    </row>
    <row r="59" spans="1:10" s="1" customFormat="1" ht="13.5">
      <c r="A59" s="100"/>
      <c r="B59" s="100"/>
      <c r="C59" s="8"/>
      <c r="D59" s="8"/>
      <c r="F59" s="8"/>
      <c r="G59" s="8"/>
      <c r="H59" s="100"/>
      <c r="I59" s="2"/>
      <c r="J59" s="100"/>
    </row>
    <row r="60" spans="1:10" s="1" customFormat="1" ht="13.5">
      <c r="A60" s="100"/>
      <c r="B60" s="100"/>
      <c r="C60" s="8"/>
      <c r="D60" s="8"/>
      <c r="F60" s="8"/>
      <c r="G60" s="8"/>
      <c r="H60" s="100"/>
      <c r="I60" s="69"/>
      <c r="J60" s="6"/>
    </row>
    <row r="61" spans="1:10" s="1" customFormat="1" ht="13.5">
      <c r="A61" s="100"/>
      <c r="B61" s="100"/>
      <c r="C61" s="8"/>
      <c r="D61" s="8"/>
      <c r="F61" s="8"/>
      <c r="G61" s="8"/>
      <c r="H61" s="100"/>
      <c r="I61" s="69"/>
      <c r="J61" s="6"/>
    </row>
    <row r="66" ht="20.25" customHeight="1"/>
    <row r="67" spans="1:10" s="6" customFormat="1" ht="20.25" customHeight="1">
      <c r="A67" s="100"/>
      <c r="B67" s="100"/>
      <c r="C67" s="8"/>
      <c r="D67" s="8"/>
      <c r="E67" s="1"/>
      <c r="F67" s="8"/>
      <c r="G67" s="8"/>
      <c r="H67" s="100"/>
      <c r="I67" s="2"/>
      <c r="J67" s="100"/>
    </row>
    <row r="68" spans="1:10" s="6" customFormat="1" ht="20.25" customHeight="1">
      <c r="A68" s="100"/>
      <c r="B68" s="100"/>
      <c r="C68" s="8"/>
      <c r="D68" s="8"/>
      <c r="E68" s="1"/>
      <c r="F68" s="8"/>
      <c r="G68" s="8"/>
      <c r="H68" s="100"/>
      <c r="I68" s="2"/>
      <c r="J68" s="100"/>
    </row>
    <row r="69" ht="20.25" customHeight="1"/>
    <row r="70" ht="20.25" customHeight="1"/>
    <row r="71" spans="1:10" s="6" customFormat="1" ht="13.5">
      <c r="A71" s="100"/>
      <c r="B71" s="100"/>
      <c r="C71" s="8"/>
      <c r="D71" s="8"/>
      <c r="E71" s="1"/>
      <c r="F71" s="8"/>
      <c r="G71" s="8"/>
      <c r="H71" s="100"/>
      <c r="I71" s="2"/>
      <c r="J71" s="100"/>
    </row>
    <row r="72" spans="1:10" s="6" customFormat="1" ht="13.5">
      <c r="A72" s="100"/>
      <c r="B72" s="100"/>
      <c r="C72" s="8"/>
      <c r="D72" s="8"/>
      <c r="E72" s="1"/>
      <c r="F72" s="8"/>
      <c r="G72" s="8"/>
      <c r="H72" s="100"/>
      <c r="I72" s="2"/>
      <c r="J72" s="100"/>
    </row>
    <row r="82" ht="15" customHeight="1"/>
    <row r="83" ht="15" customHeight="1"/>
    <row r="84" ht="15" customHeight="1"/>
  </sheetData>
  <sheetProtection sheet="1" objects="1" scenarios="1"/>
  <mergeCells count="2">
    <mergeCell ref="C5:G5"/>
    <mergeCell ref="B25:B26"/>
  </mergeCells>
  <dataValidations count="1">
    <dataValidation allowBlank="1" showInputMessage="1" showErrorMessage="1" imeMode="halfAlpha" sqref="B27:F38"/>
  </dataValidations>
  <hyperlinks>
    <hyperlink ref="B2" location="'基本情報入力（使い方）'!A6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codeName="Sheet15">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67" t="s">
        <v>850</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79" t="s">
        <v>94</v>
      </c>
      <c r="C4" s="1079"/>
      <c r="D4" s="1079"/>
      <c r="E4" s="1079"/>
      <c r="F4" s="1079"/>
      <c r="G4" s="1079"/>
      <c r="H4" s="1079"/>
    </row>
    <row r="5" ht="9.75" customHeight="1"/>
    <row r="6" ht="17.25">
      <c r="H6" s="46" t="s">
        <v>95</v>
      </c>
    </row>
    <row r="7" spans="2:10" ht="17.25">
      <c r="B7" s="47"/>
      <c r="C7" s="47"/>
      <c r="D7" s="47"/>
      <c r="E7" s="47"/>
      <c r="G7" s="47" t="s">
        <v>157</v>
      </c>
      <c r="H7" s="189" t="str">
        <f>IF('基本情報入力（使い方）'!$C$10="","",'基本情報入力（使い方）'!$C$10)</f>
        <v>Ｂ金属株式会社</v>
      </c>
      <c r="I7" s="153"/>
      <c r="J7" s="153"/>
    </row>
    <row r="8" spans="2:9" ht="17.25">
      <c r="B8" s="47" t="s">
        <v>96</v>
      </c>
      <c r="D8" s="47"/>
      <c r="E8" s="47"/>
      <c r="F8" s="47"/>
      <c r="G8" s="194" t="s">
        <v>51</v>
      </c>
      <c r="H8" s="183">
        <f>H36+H37</f>
        <v>1920</v>
      </c>
      <c r="I8" s="47" t="s">
        <v>97</v>
      </c>
    </row>
    <row r="9" spans="2:9" ht="17.25">
      <c r="B9" s="47"/>
      <c r="D9" s="47"/>
      <c r="E9" s="47"/>
      <c r="F9" s="47"/>
      <c r="G9" s="48"/>
      <c r="H9" s="64"/>
      <c r="I9" s="47"/>
    </row>
    <row r="10" spans="2:7" ht="18" thickBot="1">
      <c r="B10" s="47"/>
      <c r="C10" s="181" t="s">
        <v>98</v>
      </c>
      <c r="D10" s="47"/>
      <c r="E10" s="47"/>
      <c r="F10" s="181" t="s">
        <v>98</v>
      </c>
      <c r="G10" s="47"/>
    </row>
    <row r="11" spans="1:8" ht="17.25">
      <c r="A11" s="193"/>
      <c r="B11" s="603" t="s">
        <v>996</v>
      </c>
      <c r="C11" s="394">
        <v>20</v>
      </c>
      <c r="D11" s="193"/>
      <c r="E11" s="603" t="s">
        <v>997</v>
      </c>
      <c r="F11" s="394">
        <v>20</v>
      </c>
      <c r="G11" s="47"/>
      <c r="H11" s="8"/>
    </row>
    <row r="12" spans="2:7" ht="17.25">
      <c r="B12" s="603" t="s">
        <v>791</v>
      </c>
      <c r="C12" s="395">
        <v>20</v>
      </c>
      <c r="D12" s="47"/>
      <c r="E12" s="603" t="s">
        <v>99</v>
      </c>
      <c r="F12" s="395">
        <v>20</v>
      </c>
      <c r="G12" s="47"/>
    </row>
    <row r="13" spans="2:7" ht="17.25">
      <c r="B13" s="603" t="s">
        <v>699</v>
      </c>
      <c r="C13" s="395">
        <v>20</v>
      </c>
      <c r="D13" s="47"/>
      <c r="E13" s="603" t="s">
        <v>100</v>
      </c>
      <c r="F13" s="395">
        <v>20</v>
      </c>
      <c r="G13" s="47"/>
    </row>
    <row r="14" spans="2:7" ht="17.25">
      <c r="B14" s="603" t="s">
        <v>798</v>
      </c>
      <c r="C14" s="395">
        <v>20</v>
      </c>
      <c r="D14" s="47"/>
      <c r="E14" s="603" t="s">
        <v>998</v>
      </c>
      <c r="F14" s="395">
        <v>20</v>
      </c>
      <c r="G14" s="91"/>
    </row>
    <row r="15" spans="1:7" ht="17.25">
      <c r="A15" s="193"/>
      <c r="B15" s="603" t="s">
        <v>999</v>
      </c>
      <c r="C15" s="395">
        <v>20</v>
      </c>
      <c r="D15" s="193"/>
      <c r="E15" s="603" t="s">
        <v>1000</v>
      </c>
      <c r="F15" s="395">
        <v>20</v>
      </c>
      <c r="G15" s="91"/>
    </row>
    <row r="16" spans="2:7" ht="18" thickBot="1">
      <c r="B16" s="603" t="s">
        <v>125</v>
      </c>
      <c r="C16" s="396">
        <v>20</v>
      </c>
      <c r="D16" s="47"/>
      <c r="E16" s="603" t="s">
        <v>698</v>
      </c>
      <c r="F16" s="396">
        <v>20</v>
      </c>
      <c r="G16" s="331"/>
    </row>
    <row r="17" spans="2:7" ht="17.25">
      <c r="B17" s="540"/>
      <c r="C17" s="47"/>
      <c r="D17" s="47"/>
      <c r="E17" s="545" t="s">
        <v>51</v>
      </c>
      <c r="F17" s="50">
        <f>C11+C12+C13+C14+C15+C16+F11+F12+F13+F14+F15+F16</f>
        <v>240</v>
      </c>
      <c r="G17" s="332" t="s">
        <v>799</v>
      </c>
    </row>
    <row r="18" spans="3:12" ht="17.25">
      <c r="C18" s="47"/>
      <c r="D18" s="47"/>
      <c r="E18" s="47"/>
      <c r="F18" s="49"/>
      <c r="G18" s="51"/>
      <c r="K18" s="52"/>
      <c r="L18" s="52"/>
    </row>
    <row r="19" spans="2:12" ht="18" customHeight="1">
      <c r="B19" s="333" t="s">
        <v>828</v>
      </c>
      <c r="C19" s="47"/>
      <c r="D19" s="47"/>
      <c r="E19" s="47"/>
      <c r="F19" s="59"/>
      <c r="G19" s="51"/>
      <c r="K19" s="52"/>
      <c r="L19" s="52"/>
    </row>
    <row r="20" spans="2:12" ht="18" customHeight="1">
      <c r="B20" s="334" t="s">
        <v>802</v>
      </c>
      <c r="C20" s="47"/>
      <c r="D20" s="47"/>
      <c r="E20" s="47"/>
      <c r="F20" s="59"/>
      <c r="G20" s="51"/>
      <c r="K20" s="52"/>
      <c r="L20" s="52"/>
    </row>
    <row r="21" spans="2:12" ht="18" customHeight="1">
      <c r="B21" s="334"/>
      <c r="C21" s="47"/>
      <c r="D21" s="47"/>
      <c r="E21" s="47"/>
      <c r="F21" s="59"/>
      <c r="G21" s="51"/>
      <c r="K21" s="52"/>
      <c r="L21" s="52"/>
    </row>
    <row r="22" spans="2:12" ht="18" customHeight="1">
      <c r="B22" s="334"/>
      <c r="C22" s="47"/>
      <c r="D22" s="47"/>
      <c r="E22" s="47"/>
      <c r="F22" s="59"/>
      <c r="G22" s="51"/>
      <c r="K22" s="52"/>
      <c r="L22" s="52"/>
    </row>
    <row r="23" spans="2:12" ht="17.25">
      <c r="B23" s="334"/>
      <c r="C23" s="47"/>
      <c r="D23" s="47"/>
      <c r="E23" s="47"/>
      <c r="F23" s="49"/>
      <c r="G23" s="51"/>
      <c r="K23" s="52"/>
      <c r="L23" s="52"/>
    </row>
    <row r="24" spans="2:12" ht="18" thickBot="1">
      <c r="B24" s="47"/>
      <c r="C24" s="47"/>
      <c r="D24" s="47"/>
      <c r="E24" s="47"/>
      <c r="F24" s="49"/>
      <c r="G24" s="51"/>
      <c r="K24" s="52"/>
      <c r="L24" s="52"/>
    </row>
    <row r="25" spans="2:9" ht="18" thickBot="1">
      <c r="B25" s="53" t="s">
        <v>101</v>
      </c>
      <c r="C25" s="53"/>
      <c r="D25" s="53"/>
      <c r="E25" s="397">
        <v>0.375</v>
      </c>
      <c r="F25" s="144" t="s">
        <v>52</v>
      </c>
      <c r="G25" s="397">
        <v>0.75</v>
      </c>
      <c r="H25" s="54">
        <f>G25-E25</f>
        <v>0.375</v>
      </c>
      <c r="I25" s="52"/>
    </row>
    <row r="26" spans="2:9" ht="18" thickBot="1">
      <c r="B26" s="53"/>
      <c r="C26" s="53"/>
      <c r="D26" s="53"/>
      <c r="E26" s="1"/>
      <c r="F26" s="1"/>
      <c r="G26" s="55"/>
      <c r="H26" s="1"/>
      <c r="I26" s="52"/>
    </row>
    <row r="27" spans="2:9" ht="17.25">
      <c r="B27" s="53" t="s">
        <v>102</v>
      </c>
      <c r="C27" s="53"/>
      <c r="D27" s="53"/>
      <c r="E27" s="398">
        <v>0.5</v>
      </c>
      <c r="F27" s="101" t="s">
        <v>52</v>
      </c>
      <c r="G27" s="398">
        <v>0.5416666666666666</v>
      </c>
      <c r="H27" s="56">
        <f>G27-E27</f>
        <v>0.04166666666666663</v>
      </c>
      <c r="I27" s="52"/>
    </row>
    <row r="28" spans="2:9" ht="17.25">
      <c r="B28" s="53" t="s">
        <v>103</v>
      </c>
      <c r="C28" s="53"/>
      <c r="D28" s="53"/>
      <c r="E28" s="399">
        <v>0</v>
      </c>
      <c r="F28" s="101" t="s">
        <v>52</v>
      </c>
      <c r="G28" s="399">
        <v>0</v>
      </c>
      <c r="H28" s="56">
        <f>G28-E28</f>
        <v>0</v>
      </c>
      <c r="I28" s="52"/>
    </row>
    <row r="29" spans="2:9" ht="18" thickBot="1">
      <c r="B29" s="53" t="s">
        <v>104</v>
      </c>
      <c r="C29" s="53"/>
      <c r="D29" s="53"/>
      <c r="E29" s="400">
        <v>0</v>
      </c>
      <c r="F29" s="101" t="s">
        <v>52</v>
      </c>
      <c r="G29" s="400">
        <v>0</v>
      </c>
      <c r="H29" s="56">
        <f>G29-E29</f>
        <v>0</v>
      </c>
      <c r="I29" s="52"/>
    </row>
    <row r="30" spans="2:9" ht="17.25">
      <c r="B30" s="53"/>
      <c r="C30" s="53"/>
      <c r="D30" s="53"/>
      <c r="E30" s="57"/>
      <c r="F30" s="58"/>
      <c r="G30" s="49" t="s">
        <v>115</v>
      </c>
      <c r="H30" s="188">
        <f>H25-H27-H28-H29</f>
        <v>0.33333333333333337</v>
      </c>
      <c r="I30" s="51" t="s">
        <v>97</v>
      </c>
    </row>
    <row r="31" spans="2:8" ht="13.5">
      <c r="B31"/>
      <c r="C31"/>
      <c r="D31"/>
      <c r="E31"/>
      <c r="F31"/>
      <c r="G31" s="2"/>
      <c r="H31" s="2"/>
    </row>
    <row r="32" spans="2:8" ht="17.25">
      <c r="B32" s="295" t="s">
        <v>686</v>
      </c>
      <c r="C32"/>
      <c r="D32"/>
      <c r="E32"/>
      <c r="F32"/>
      <c r="G32" s="49"/>
      <c r="H32" s="2"/>
    </row>
    <row r="33" spans="2:8" ht="17.25">
      <c r="B33"/>
      <c r="C33"/>
      <c r="D33"/>
      <c r="E33"/>
      <c r="F33"/>
      <c r="G33" s="49"/>
      <c r="H33" s="2"/>
    </row>
    <row r="34" spans="2:8" ht="17.25">
      <c r="B34" s="195" t="s">
        <v>656</v>
      </c>
      <c r="C34"/>
      <c r="D34"/>
      <c r="E34"/>
      <c r="F34"/>
      <c r="G34" s="47"/>
      <c r="H34" s="2"/>
    </row>
    <row r="35" spans="2:8" ht="17.25">
      <c r="B35" s="47" t="s">
        <v>646</v>
      </c>
      <c r="C35" s="47"/>
      <c r="D35" s="47"/>
      <c r="E35" s="47"/>
      <c r="F35" s="49"/>
      <c r="G35" s="47"/>
      <c r="H35" s="2"/>
    </row>
    <row r="36" spans="2:9" ht="17.25">
      <c r="B36" s="59">
        <f>F17</f>
        <v>240</v>
      </c>
      <c r="C36" s="186" t="s">
        <v>644</v>
      </c>
      <c r="D36" s="187">
        <f>HOUR(H30)/24</f>
        <v>0.3333333333333333</v>
      </c>
      <c r="E36" s="142"/>
      <c r="G36" s="185" t="s">
        <v>643</v>
      </c>
      <c r="H36" s="184">
        <f>B36*D36*24</f>
        <v>1920</v>
      </c>
      <c r="I36" s="47" t="s">
        <v>97</v>
      </c>
    </row>
    <row r="37" spans="2:12" ht="17.25">
      <c r="B37" s="59">
        <f>F17</f>
        <v>240</v>
      </c>
      <c r="C37" s="186" t="s">
        <v>645</v>
      </c>
      <c r="D37" s="60">
        <f>MINUTE(H30)</f>
        <v>0</v>
      </c>
      <c r="E37" s="61" t="s">
        <v>105</v>
      </c>
      <c r="F37" s="60">
        <v>60</v>
      </c>
      <c r="G37" s="185" t="s">
        <v>647</v>
      </c>
      <c r="H37" s="184">
        <f>ROUNDDOWN(F38*B37,3)</f>
        <v>0</v>
      </c>
      <c r="I37" s="47" t="s">
        <v>97</v>
      </c>
      <c r="J37" s="47"/>
      <c r="K37" s="47"/>
      <c r="L37" s="47"/>
    </row>
    <row r="38" spans="6:7" ht="17.25">
      <c r="F38" s="62">
        <f>ROUNDDOWN(D37/F37,3)</f>
        <v>0</v>
      </c>
      <c r="G38" s="100" t="s">
        <v>662</v>
      </c>
    </row>
    <row r="39" ht="13.5">
      <c r="G39" s="2"/>
    </row>
  </sheetData>
  <sheetProtection sheet="1" objects="1" scenarios="1"/>
  <mergeCells count="1">
    <mergeCell ref="B4:H4"/>
  </mergeCells>
  <dataValidations count="2">
    <dataValidation allowBlank="1" showInputMessage="1" showErrorMessage="1" imeMode="halfAlpha" sqref="G12 G27:G29 G25 E25 E27:E29 C11:C16 F11:F16"/>
    <dataValidation type="list" allowBlank="1" showInputMessage="1" showErrorMessage="1" sqref="F35">
      <formula1>$K$34:$K$36</formula1>
    </dataValidation>
  </dataValidations>
  <hyperlinks>
    <hyperlink ref="B2" location="'基本情報入力（使い方）'!A71"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8.xml><?xml version="1.0" encoding="utf-8"?>
<worksheet xmlns="http://schemas.openxmlformats.org/spreadsheetml/2006/main" xmlns:r="http://schemas.openxmlformats.org/officeDocument/2006/relationships">
  <sheetPr codeName="Sheet41">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67" t="s">
        <v>850</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79" t="s">
        <v>94</v>
      </c>
      <c r="C4" s="1079"/>
      <c r="D4" s="1079"/>
      <c r="E4" s="1079"/>
      <c r="F4" s="1079"/>
      <c r="G4" s="1079"/>
      <c r="H4" s="1079"/>
    </row>
    <row r="5" ht="9.75" customHeight="1"/>
    <row r="6" ht="17.25">
      <c r="H6" s="46" t="s">
        <v>95</v>
      </c>
    </row>
    <row r="7" spans="2:8" ht="17.25">
      <c r="B7" s="47"/>
      <c r="C7" s="47"/>
      <c r="D7" s="47"/>
      <c r="E7" s="47"/>
      <c r="G7" s="47" t="s">
        <v>157</v>
      </c>
      <c r="H7" s="189" t="str">
        <f>IF('基本情報入力（使い方）'!$C$10="","",'基本情報入力（使い方）'!$C$10)</f>
        <v>Ｂ金属株式会社</v>
      </c>
    </row>
    <row r="8" spans="2:9" ht="17.25">
      <c r="B8" s="47" t="s">
        <v>96</v>
      </c>
      <c r="D8" s="47"/>
      <c r="E8" s="47"/>
      <c r="F8" s="47"/>
      <c r="G8" s="194" t="s">
        <v>51</v>
      </c>
      <c r="H8" s="183">
        <f>H36+H37</f>
        <v>0</v>
      </c>
      <c r="I8" s="47" t="s">
        <v>97</v>
      </c>
    </row>
    <row r="9" spans="2:9" ht="17.25">
      <c r="B9" s="47"/>
      <c r="D9" s="47"/>
      <c r="E9" s="47"/>
      <c r="F9" s="47"/>
      <c r="G9" s="48"/>
      <c r="H9" s="64"/>
      <c r="I9" s="47"/>
    </row>
    <row r="10" spans="2:7" ht="18" thickBot="1">
      <c r="B10" s="47"/>
      <c r="C10" s="181" t="s">
        <v>98</v>
      </c>
      <c r="D10" s="47"/>
      <c r="E10" s="47"/>
      <c r="F10" s="181" t="s">
        <v>98</v>
      </c>
      <c r="G10" s="47"/>
    </row>
    <row r="11" spans="1:7" ht="17.25">
      <c r="A11" s="193"/>
      <c r="B11" s="603" t="s">
        <v>1001</v>
      </c>
      <c r="C11" s="394">
        <v>20</v>
      </c>
      <c r="D11" s="193"/>
      <c r="E11" s="603" t="s">
        <v>1002</v>
      </c>
      <c r="F11" s="394">
        <v>0</v>
      </c>
      <c r="G11" s="47"/>
    </row>
    <row r="12" spans="2:7" ht="17.25">
      <c r="B12" s="603" t="s">
        <v>791</v>
      </c>
      <c r="C12" s="395">
        <v>20</v>
      </c>
      <c r="D12" s="47"/>
      <c r="E12" s="603" t="s">
        <v>99</v>
      </c>
      <c r="F12" s="395">
        <v>0</v>
      </c>
      <c r="G12" s="47"/>
    </row>
    <row r="13" spans="2:7" ht="17.25">
      <c r="B13" s="603" t="s">
        <v>699</v>
      </c>
      <c r="C13" s="395">
        <v>20</v>
      </c>
      <c r="D13" s="47"/>
      <c r="E13" s="603" t="s">
        <v>100</v>
      </c>
      <c r="F13" s="395">
        <v>0</v>
      </c>
      <c r="G13" s="47"/>
    </row>
    <row r="14" spans="2:7" ht="17.25">
      <c r="B14" s="603" t="s">
        <v>1003</v>
      </c>
      <c r="C14" s="395">
        <v>20</v>
      </c>
      <c r="D14" s="47"/>
      <c r="E14" s="603" t="s">
        <v>998</v>
      </c>
      <c r="F14" s="395">
        <v>0</v>
      </c>
      <c r="G14" s="47"/>
    </row>
    <row r="15" spans="1:7" ht="17.25">
      <c r="A15" s="193"/>
      <c r="B15" s="603" t="s">
        <v>999</v>
      </c>
      <c r="C15" s="395">
        <v>20</v>
      </c>
      <c r="D15" s="193"/>
      <c r="E15" s="603" t="s">
        <v>1000</v>
      </c>
      <c r="F15" s="395">
        <v>0</v>
      </c>
      <c r="G15" s="91"/>
    </row>
    <row r="16" spans="2:7" ht="18" thickBot="1">
      <c r="B16" s="603" t="s">
        <v>125</v>
      </c>
      <c r="C16" s="396">
        <v>20</v>
      </c>
      <c r="D16" s="47"/>
      <c r="E16" s="603" t="s">
        <v>698</v>
      </c>
      <c r="F16" s="396">
        <v>0</v>
      </c>
      <c r="G16" s="331"/>
    </row>
    <row r="17" spans="3:7" ht="17.25">
      <c r="C17" s="47"/>
      <c r="D17" s="47"/>
      <c r="E17" s="294" t="s">
        <v>51</v>
      </c>
      <c r="F17" s="50">
        <f>C11+C12+C13+C14+C15+C16+F11+F12+F13+F14+F15+F16</f>
        <v>120</v>
      </c>
      <c r="G17" s="332" t="s">
        <v>799</v>
      </c>
    </row>
    <row r="18" spans="3:12" ht="17.25">
      <c r="C18" s="47"/>
      <c r="D18" s="47"/>
      <c r="E18" s="47"/>
      <c r="F18" s="49"/>
      <c r="G18" s="51"/>
      <c r="K18" s="52"/>
      <c r="L18" s="52"/>
    </row>
    <row r="19" spans="2:12" ht="18" customHeight="1">
      <c r="B19" s="333" t="s">
        <v>828</v>
      </c>
      <c r="C19" s="47"/>
      <c r="D19" s="47"/>
      <c r="E19" s="47"/>
      <c r="F19" s="59"/>
      <c r="G19" s="51"/>
      <c r="K19" s="52"/>
      <c r="L19" s="52"/>
    </row>
    <row r="20" spans="2:12" ht="18" customHeight="1">
      <c r="B20" s="334" t="s">
        <v>800</v>
      </c>
      <c r="C20" s="47"/>
      <c r="D20" s="47"/>
      <c r="E20" s="47"/>
      <c r="F20" s="59"/>
      <c r="G20" s="51"/>
      <c r="K20" s="52"/>
      <c r="L20" s="52"/>
    </row>
    <row r="21" spans="2:12" ht="18" customHeight="1">
      <c r="B21" s="334" t="s">
        <v>801</v>
      </c>
      <c r="C21" s="47"/>
      <c r="D21" s="47"/>
      <c r="E21" s="47"/>
      <c r="F21" s="59"/>
      <c r="G21" s="51"/>
      <c r="K21" s="52"/>
      <c r="L21" s="52"/>
    </row>
    <row r="22" spans="2:12" ht="18" customHeight="1">
      <c r="B22" s="334" t="s">
        <v>827</v>
      </c>
      <c r="C22" s="47"/>
      <c r="D22" s="47"/>
      <c r="E22" s="47"/>
      <c r="F22" s="59"/>
      <c r="G22" s="51"/>
      <c r="K22" s="52"/>
      <c r="L22" s="52"/>
    </row>
    <row r="23" spans="2:12" ht="17.25">
      <c r="B23" s="334"/>
      <c r="C23" s="47"/>
      <c r="D23" s="47"/>
      <c r="E23" s="47"/>
      <c r="F23" s="49"/>
      <c r="G23" s="51"/>
      <c r="K23" s="52"/>
      <c r="L23" s="52"/>
    </row>
    <row r="24" spans="2:12" ht="18" thickBot="1">
      <c r="B24" s="334"/>
      <c r="C24" s="47"/>
      <c r="D24" s="47"/>
      <c r="E24" s="47"/>
      <c r="F24" s="49"/>
      <c r="G24" s="51"/>
      <c r="K24" s="52"/>
      <c r="L24" s="52"/>
    </row>
    <row r="25" spans="2:9" ht="18" thickBot="1">
      <c r="B25" s="53" t="s">
        <v>101</v>
      </c>
      <c r="C25" s="47"/>
      <c r="D25" s="53"/>
      <c r="E25" s="397">
        <v>0</v>
      </c>
      <c r="F25" s="139" t="s">
        <v>52</v>
      </c>
      <c r="G25" s="397">
        <v>0</v>
      </c>
      <c r="H25" s="54">
        <f>G25-E25</f>
        <v>0</v>
      </c>
      <c r="I25" s="52"/>
    </row>
    <row r="26" spans="2:9" ht="18" thickBot="1">
      <c r="B26" s="53"/>
      <c r="C26" s="53"/>
      <c r="D26" s="53"/>
      <c r="E26" s="1"/>
      <c r="F26" s="1"/>
      <c r="G26" s="55"/>
      <c r="H26" s="1"/>
      <c r="I26" s="52"/>
    </row>
    <row r="27" spans="2:9" ht="17.25">
      <c r="B27" s="53" t="s">
        <v>102</v>
      </c>
      <c r="C27" s="53"/>
      <c r="D27" s="53"/>
      <c r="E27" s="398">
        <v>0</v>
      </c>
      <c r="F27" s="101" t="s">
        <v>52</v>
      </c>
      <c r="G27" s="398">
        <v>0</v>
      </c>
      <c r="H27" s="56">
        <f>G27-E27</f>
        <v>0</v>
      </c>
      <c r="I27" s="52"/>
    </row>
    <row r="28" spans="2:9" ht="17.25">
      <c r="B28" s="53" t="s">
        <v>103</v>
      </c>
      <c r="C28" s="53"/>
      <c r="D28" s="53"/>
      <c r="E28" s="399">
        <v>0</v>
      </c>
      <c r="F28" s="101" t="s">
        <v>52</v>
      </c>
      <c r="G28" s="399">
        <v>0</v>
      </c>
      <c r="H28" s="56">
        <f>G28-E28</f>
        <v>0</v>
      </c>
      <c r="I28" s="52"/>
    </row>
    <row r="29" spans="2:9" ht="18" thickBot="1">
      <c r="B29" s="53" t="s">
        <v>104</v>
      </c>
      <c r="C29" s="53"/>
      <c r="D29" s="53"/>
      <c r="E29" s="400">
        <v>0</v>
      </c>
      <c r="F29" s="101" t="s">
        <v>52</v>
      </c>
      <c r="G29" s="400">
        <v>0</v>
      </c>
      <c r="H29" s="56">
        <f>G29-E29</f>
        <v>0</v>
      </c>
      <c r="I29" s="52"/>
    </row>
    <row r="30" spans="2:9" ht="17.25">
      <c r="B30" s="53"/>
      <c r="C30" s="53"/>
      <c r="D30" s="53"/>
      <c r="E30" s="57"/>
      <c r="F30" s="58"/>
      <c r="G30" s="49"/>
      <c r="H30" s="188">
        <f>H25-H27-H28-H29</f>
        <v>0</v>
      </c>
      <c r="I30" s="51" t="s">
        <v>97</v>
      </c>
    </row>
    <row r="31" spans="2:8" ht="13.5">
      <c r="B31" s="295"/>
      <c r="C31"/>
      <c r="D31"/>
      <c r="E31"/>
      <c r="F31"/>
      <c r="G31" s="2"/>
      <c r="H31" s="2"/>
    </row>
    <row r="32" spans="2:8" ht="17.25">
      <c r="B32" s="295" t="s">
        <v>686</v>
      </c>
      <c r="C32"/>
      <c r="D32"/>
      <c r="E32"/>
      <c r="F32"/>
      <c r="G32" s="49"/>
      <c r="H32" s="2"/>
    </row>
    <row r="33" spans="2:8" ht="17.25">
      <c r="B33"/>
      <c r="C33"/>
      <c r="D33"/>
      <c r="E33"/>
      <c r="F33"/>
      <c r="G33" s="49"/>
      <c r="H33" s="2"/>
    </row>
    <row r="34" spans="2:8" ht="17.25">
      <c r="B34" s="195" t="s">
        <v>656</v>
      </c>
      <c r="C34"/>
      <c r="D34"/>
      <c r="E34"/>
      <c r="F34"/>
      <c r="G34" s="47"/>
      <c r="H34" s="2"/>
    </row>
    <row r="35" spans="2:8" ht="17.25">
      <c r="B35" s="47" t="s">
        <v>646</v>
      </c>
      <c r="C35" s="47"/>
      <c r="D35" s="47"/>
      <c r="E35" s="47"/>
      <c r="F35" s="49"/>
      <c r="G35" s="47"/>
      <c r="H35" s="2"/>
    </row>
    <row r="36" spans="2:9" ht="17.25">
      <c r="B36" s="59">
        <f>F17</f>
        <v>120</v>
      </c>
      <c r="C36" s="186" t="s">
        <v>644</v>
      </c>
      <c r="D36" s="187">
        <f>HOUR(H30)/24</f>
        <v>0</v>
      </c>
      <c r="E36" s="142"/>
      <c r="G36" s="185" t="s">
        <v>643</v>
      </c>
      <c r="H36" s="184">
        <f>B36*D36*24</f>
        <v>0</v>
      </c>
      <c r="I36" s="47" t="s">
        <v>97</v>
      </c>
    </row>
    <row r="37" spans="2:12" ht="17.25">
      <c r="B37" s="59">
        <f>F17</f>
        <v>120</v>
      </c>
      <c r="C37" s="186" t="s">
        <v>645</v>
      </c>
      <c r="D37" s="60">
        <f>MINUTE(H30)</f>
        <v>0</v>
      </c>
      <c r="E37" s="61" t="s">
        <v>105</v>
      </c>
      <c r="F37" s="60">
        <v>60</v>
      </c>
      <c r="G37" s="185" t="s">
        <v>647</v>
      </c>
      <c r="H37" s="184">
        <f>ROUNDDOWN(F38*B37,3)</f>
        <v>0</v>
      </c>
      <c r="I37" s="47" t="s">
        <v>97</v>
      </c>
      <c r="J37" s="47"/>
      <c r="K37" s="47"/>
      <c r="L37" s="47"/>
    </row>
    <row r="38" spans="6:7" ht="17.25">
      <c r="F38" s="62">
        <f>ROUNDDOWN(D37/F37,3)</f>
        <v>0</v>
      </c>
      <c r="G38" s="100" t="s">
        <v>662</v>
      </c>
    </row>
    <row r="39" ht="13.5">
      <c r="G39" s="2"/>
    </row>
  </sheetData>
  <sheetProtection sheet="1" objects="1" scenarios="1"/>
  <mergeCells count="1">
    <mergeCell ref="B4:H4"/>
  </mergeCells>
  <dataValidations count="2">
    <dataValidation type="list" allowBlank="1" showInputMessage="1" showErrorMessage="1" sqref="F35">
      <formula1>$K$34:$K$36</formula1>
    </dataValidation>
    <dataValidation allowBlank="1" showInputMessage="1" showErrorMessage="1" imeMode="halfAlpha" sqref="G12 G27:G29 G25 E25 E27:E29 F11:F16 C11:C16"/>
  </dataValidations>
  <hyperlinks>
    <hyperlink ref="B2" location="'基本情報入力（使い方）'!A75"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9.xml><?xml version="1.0" encoding="utf-8"?>
<worksheet xmlns="http://schemas.openxmlformats.org/spreadsheetml/2006/main" xmlns:r="http://schemas.openxmlformats.org/officeDocument/2006/relationships">
  <sheetPr codeName="Sheet13">
    <tabColor rgb="FFFFFF00"/>
    <pageSetUpPr fitToPage="1"/>
  </sheetPr>
  <dimension ref="A1:V51"/>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40" customWidth="1"/>
    <col min="10" max="13" width="16.28125" style="100" customWidth="1"/>
    <col min="14" max="14" width="16.28125" style="540" customWidth="1"/>
    <col min="15" max="18" width="16.28125" style="100" customWidth="1"/>
    <col min="19" max="19" width="16.28125" style="540" customWidth="1"/>
    <col min="20" max="20" width="16.28125" style="100" customWidth="1"/>
    <col min="21" max="21" width="2.421875" style="100" customWidth="1"/>
    <col min="22" max="22" width="10.28125" style="100" bestFit="1" customWidth="1"/>
    <col min="23" max="16384" width="9.00390625" style="100" customWidth="1"/>
  </cols>
  <sheetData>
    <row r="1" spans="1:18" ht="13.5">
      <c r="A1" s="3"/>
      <c r="E1" s="4"/>
      <c r="F1" s="7"/>
      <c r="G1" s="8"/>
      <c r="H1" s="13"/>
      <c r="I1" s="482"/>
      <c r="J1" s="8"/>
      <c r="K1" s="8"/>
      <c r="L1" s="8"/>
      <c r="M1" s="8"/>
      <c r="N1" s="203"/>
      <c r="O1" s="3"/>
      <c r="P1" s="3"/>
      <c r="Q1" s="2"/>
      <c r="R1" s="2"/>
    </row>
    <row r="2" spans="1:18" ht="13.5">
      <c r="A2" s="3"/>
      <c r="B2" s="767" t="s">
        <v>851</v>
      </c>
      <c r="E2" s="4"/>
      <c r="F2" s="7"/>
      <c r="G2" s="8"/>
      <c r="H2" s="13"/>
      <c r="I2" s="482"/>
      <c r="J2" s="8"/>
      <c r="K2" s="8"/>
      <c r="L2" s="8"/>
      <c r="M2" s="8"/>
      <c r="N2" s="203"/>
      <c r="O2" s="3"/>
      <c r="P2" s="3"/>
      <c r="Q2" s="2"/>
      <c r="R2" s="2"/>
    </row>
    <row r="3" spans="1:18" ht="13.5">
      <c r="A3" s="3"/>
      <c r="E3" s="4"/>
      <c r="F3" s="7"/>
      <c r="G3" s="8"/>
      <c r="H3" s="13"/>
      <c r="I3" s="482"/>
      <c r="J3" s="8"/>
      <c r="K3" s="8"/>
      <c r="L3" s="8"/>
      <c r="M3" s="8"/>
      <c r="N3" s="203"/>
      <c r="O3" s="3"/>
      <c r="P3" s="3"/>
      <c r="Q3" s="2"/>
      <c r="R3" s="2"/>
    </row>
    <row r="4" spans="1:6" ht="17.25">
      <c r="A4" s="1080"/>
      <c r="B4" s="1080"/>
      <c r="C4" s="1080"/>
      <c r="D4" s="1080"/>
      <c r="E4" s="1080"/>
      <c r="F4" s="47"/>
    </row>
    <row r="5" spans="1:20" ht="17.25">
      <c r="A5" s="127"/>
      <c r="B5" s="128" t="s">
        <v>91</v>
      </c>
      <c r="C5" s="1081" t="s">
        <v>859</v>
      </c>
      <c r="D5" s="1081"/>
      <c r="E5" s="1081"/>
      <c r="F5" s="1081"/>
      <c r="G5" s="6"/>
      <c r="H5" s="6"/>
      <c r="J5" s="6"/>
      <c r="K5" s="6"/>
      <c r="L5" s="6"/>
      <c r="M5" s="6"/>
      <c r="O5" s="6"/>
      <c r="P5" s="6"/>
      <c r="Q5" s="6"/>
      <c r="R5" s="6"/>
      <c r="T5" s="6"/>
    </row>
    <row r="6" spans="1:20" ht="17.25">
      <c r="A6" s="6"/>
      <c r="B6" s="26"/>
      <c r="C6" s="26"/>
      <c r="D6" s="26"/>
      <c r="E6" s="26"/>
      <c r="F6" s="6"/>
      <c r="G6" s="6"/>
      <c r="H6" s="6"/>
      <c r="J6" s="6"/>
      <c r="K6" s="6"/>
      <c r="L6" s="6"/>
      <c r="M6" s="6"/>
      <c r="O6" s="6"/>
      <c r="P6" s="6"/>
      <c r="Q6" s="6"/>
      <c r="T6" s="127" t="s">
        <v>36</v>
      </c>
    </row>
    <row r="7" spans="1:22" ht="17.25">
      <c r="A7" s="6"/>
      <c r="B7" s="26" t="s">
        <v>1</v>
      </c>
      <c r="C7" s="26"/>
      <c r="D7" s="26"/>
      <c r="E7" s="26"/>
      <c r="F7" s="6"/>
      <c r="G7" s="6"/>
      <c r="H7" s="6"/>
      <c r="J7" s="6"/>
      <c r="K7" s="6"/>
      <c r="L7" s="6"/>
      <c r="N7" s="545"/>
      <c r="O7" s="27"/>
      <c r="Q7" s="129" t="s">
        <v>106</v>
      </c>
      <c r="R7" s="180" t="str">
        <f>IF('基本情報入力（使い方）'!$C$10="","",'基本情報入力（使い方）'!$C$10)</f>
        <v>Ｂ金属株式会社</v>
      </c>
      <c r="T7" s="27"/>
      <c r="V7" s="2"/>
    </row>
    <row r="8" spans="1:22" ht="14.25" thickBot="1">
      <c r="A8" s="6"/>
      <c r="B8" s="26" t="s">
        <v>1</v>
      </c>
      <c r="C8" s="26"/>
      <c r="D8" s="26"/>
      <c r="E8" s="26"/>
      <c r="F8" s="6"/>
      <c r="G8" s="6"/>
      <c r="H8" s="6"/>
      <c r="J8" s="6"/>
      <c r="K8" s="6"/>
      <c r="L8" s="6"/>
      <c r="M8" s="6"/>
      <c r="O8" s="6"/>
      <c r="P8" s="6"/>
      <c r="Q8" s="6"/>
      <c r="R8" s="6"/>
      <c r="T8" s="6"/>
      <c r="V8" s="2"/>
    </row>
    <row r="9" spans="1:22" ht="35.25" customHeight="1" thickBot="1">
      <c r="A9" s="6"/>
      <c r="B9" s="1082" t="s">
        <v>149</v>
      </c>
      <c r="C9" s="1083"/>
      <c r="D9" s="1083"/>
      <c r="E9" s="1084"/>
      <c r="F9" s="1085" t="str">
        <f>'対象者一覧表'!C27</f>
        <v>山田　美子</v>
      </c>
      <c r="G9" s="1086"/>
      <c r="H9" s="1086"/>
      <c r="I9" s="1086"/>
      <c r="J9" s="1087"/>
      <c r="K9" s="1115" t="str">
        <f>'対象者一覧表'!C28</f>
        <v>田中　丑男</v>
      </c>
      <c r="L9" s="1116"/>
      <c r="M9" s="1116"/>
      <c r="N9" s="1116"/>
      <c r="O9" s="1117"/>
      <c r="P9" s="1092" t="str">
        <f>'対象者一覧表'!C29</f>
        <v>加藤　寅乃介</v>
      </c>
      <c r="Q9" s="1093"/>
      <c r="R9" s="1093"/>
      <c r="S9" s="1093"/>
      <c r="T9" s="1094"/>
      <c r="V9" s="28"/>
    </row>
    <row r="10" spans="1:22" ht="33.75" customHeight="1">
      <c r="A10" s="6"/>
      <c r="B10" s="1097" t="s">
        <v>687</v>
      </c>
      <c r="C10" s="1098"/>
      <c r="D10" s="1098"/>
      <c r="E10" s="1099"/>
      <c r="F10" s="296" t="s">
        <v>3</v>
      </c>
      <c r="G10" s="297" t="s">
        <v>4</v>
      </c>
      <c r="H10" s="298" t="s">
        <v>5</v>
      </c>
      <c r="I10" s="1090" t="s">
        <v>640</v>
      </c>
      <c r="J10" s="1088" t="s">
        <v>641</v>
      </c>
      <c r="K10" s="296" t="s">
        <v>3</v>
      </c>
      <c r="L10" s="297" t="s">
        <v>4</v>
      </c>
      <c r="M10" s="298" t="s">
        <v>5</v>
      </c>
      <c r="N10" s="1090" t="s">
        <v>640</v>
      </c>
      <c r="O10" s="1088" t="s">
        <v>641</v>
      </c>
      <c r="P10" s="296" t="s">
        <v>3</v>
      </c>
      <c r="Q10" s="297" t="s">
        <v>4</v>
      </c>
      <c r="R10" s="299" t="s">
        <v>5</v>
      </c>
      <c r="S10" s="1090" t="s">
        <v>640</v>
      </c>
      <c r="T10" s="1088" t="s">
        <v>641</v>
      </c>
      <c r="V10" s="28"/>
    </row>
    <row r="11" spans="1:22" ht="14.25" customHeight="1">
      <c r="A11" s="6"/>
      <c r="B11" s="1100"/>
      <c r="C11" s="1101"/>
      <c r="D11" s="1101"/>
      <c r="E11" s="1102"/>
      <c r="F11" s="300" t="s">
        <v>6</v>
      </c>
      <c r="G11" s="301" t="s">
        <v>7</v>
      </c>
      <c r="H11" s="302"/>
      <c r="I11" s="1091"/>
      <c r="J11" s="1089"/>
      <c r="K11" s="300" t="s">
        <v>6</v>
      </c>
      <c r="L11" s="301" t="s">
        <v>7</v>
      </c>
      <c r="M11" s="302"/>
      <c r="N11" s="1091"/>
      <c r="O11" s="1089"/>
      <c r="P11" s="300" t="s">
        <v>6</v>
      </c>
      <c r="Q11" s="301" t="s">
        <v>7</v>
      </c>
      <c r="R11" s="303"/>
      <c r="S11" s="1091"/>
      <c r="T11" s="1089"/>
      <c r="V11" s="28"/>
    </row>
    <row r="12" spans="1:22" ht="14.25" customHeight="1" thickBot="1">
      <c r="A12" s="6"/>
      <c r="B12" s="1103"/>
      <c r="C12" s="1104"/>
      <c r="D12" s="1104"/>
      <c r="E12" s="1105"/>
      <c r="F12" s="300" t="s">
        <v>8</v>
      </c>
      <c r="G12" s="301" t="s">
        <v>9</v>
      </c>
      <c r="H12" s="302" t="s">
        <v>10</v>
      </c>
      <c r="I12" s="1091"/>
      <c r="J12" s="1089"/>
      <c r="K12" s="300" t="s">
        <v>8</v>
      </c>
      <c r="L12" s="301" t="s">
        <v>9</v>
      </c>
      <c r="M12" s="302" t="s">
        <v>10</v>
      </c>
      <c r="N12" s="1091"/>
      <c r="O12" s="1089"/>
      <c r="P12" s="300" t="s">
        <v>8</v>
      </c>
      <c r="Q12" s="301" t="s">
        <v>9</v>
      </c>
      <c r="R12" s="303" t="s">
        <v>10</v>
      </c>
      <c r="S12" s="1091"/>
      <c r="T12" s="1089"/>
      <c r="V12" s="28"/>
    </row>
    <row r="13" spans="1:20" ht="25.5" customHeight="1">
      <c r="A13" s="6"/>
      <c r="B13" s="586">
        <v>28</v>
      </c>
      <c r="C13" s="130" t="s">
        <v>29</v>
      </c>
      <c r="D13" s="589">
        <v>1</v>
      </c>
      <c r="E13" s="157" t="s">
        <v>30</v>
      </c>
      <c r="F13" s="120">
        <f>IF('対象者一覧表'!$G$27="","",'対象者一覧表'!$G$27)</f>
        <v>3574</v>
      </c>
      <c r="G13" s="471">
        <v>85</v>
      </c>
      <c r="H13" s="121">
        <f aca="true" t="shared" si="0" ref="H13:H23">IF(F13="","",ROUNDDOWN((G13*F13),0))</f>
        <v>303790</v>
      </c>
      <c r="I13" s="597"/>
      <c r="J13" s="670">
        <f>IF(F13="","",MIN(H13,I13))</f>
        <v>303790</v>
      </c>
      <c r="K13" s="120">
        <f>IF('対象者一覧表'!$G$28="","",'対象者一覧表'!$G$28)</f>
        <v>0</v>
      </c>
      <c r="L13" s="471"/>
      <c r="M13" s="122">
        <f aca="true" t="shared" si="1" ref="M13:M23">IF(K13="","",ROUNDDOWN((L13*K13),0))</f>
        <v>0</v>
      </c>
      <c r="N13" s="597"/>
      <c r="O13" s="309">
        <f>IF(K13="","",MIN(M13,N13))</f>
        <v>0</v>
      </c>
      <c r="P13" s="120">
        <f>IF('対象者一覧表'!$G$29="","",'対象者一覧表'!$G$29)</f>
        <v>0</v>
      </c>
      <c r="Q13" s="471"/>
      <c r="R13" s="122">
        <f aca="true" t="shared" si="2" ref="R13:R23">IF(P13="","",ROUNDDOWN((Q13*P13),0))</f>
        <v>0</v>
      </c>
      <c r="S13" s="677"/>
      <c r="T13" s="671">
        <f aca="true" t="shared" si="3" ref="T13:T23">IF(P13="","",MIN(R13,S13))</f>
        <v>0</v>
      </c>
    </row>
    <row r="14" spans="1:20" ht="25.5" customHeight="1">
      <c r="A14" s="6"/>
      <c r="B14" s="587">
        <v>28</v>
      </c>
      <c r="C14" s="124" t="s">
        <v>29</v>
      </c>
      <c r="D14" s="590">
        <v>2</v>
      </c>
      <c r="E14" s="124" t="s">
        <v>30</v>
      </c>
      <c r="F14" s="116">
        <f>IF('対象者一覧表'!$G$27="","",'対象者一覧表'!$G$27)</f>
        <v>3574</v>
      </c>
      <c r="G14" s="472">
        <v>85</v>
      </c>
      <c r="H14" s="123">
        <f t="shared" si="0"/>
        <v>303790</v>
      </c>
      <c r="I14" s="598"/>
      <c r="J14" s="311">
        <f aca="true" t="shared" si="4" ref="J14:J23">IF(F14="","",MIN(H14,I14))</f>
        <v>303790</v>
      </c>
      <c r="K14" s="116">
        <f>IF('対象者一覧表'!$G$28="","",'対象者一覧表'!$G$28)</f>
        <v>0</v>
      </c>
      <c r="L14" s="472"/>
      <c r="M14" s="115">
        <f t="shared" si="1"/>
        <v>0</v>
      </c>
      <c r="N14" s="598"/>
      <c r="O14" s="311">
        <f aca="true" t="shared" si="5" ref="O14:O23">IF(K14="","",MIN(M14,N14))</f>
        <v>0</v>
      </c>
      <c r="P14" s="116">
        <f>IF('対象者一覧表'!$G$29="","",'対象者一覧表'!$G$29)</f>
        <v>0</v>
      </c>
      <c r="Q14" s="472"/>
      <c r="R14" s="115">
        <f t="shared" si="2"/>
        <v>0</v>
      </c>
      <c r="S14" s="678"/>
      <c r="T14" s="672">
        <f t="shared" si="3"/>
        <v>0</v>
      </c>
    </row>
    <row r="15" spans="1:20" ht="25.5" customHeight="1">
      <c r="A15" s="6"/>
      <c r="B15" s="587">
        <v>28</v>
      </c>
      <c r="C15" s="124" t="s">
        <v>29</v>
      </c>
      <c r="D15" s="591">
        <v>3</v>
      </c>
      <c r="E15" s="158" t="s">
        <v>30</v>
      </c>
      <c r="F15" s="116">
        <f>IF('対象者一覧表'!$G$27="","",'対象者一覧表'!$G$27)</f>
        <v>3574</v>
      </c>
      <c r="G15" s="472">
        <v>85</v>
      </c>
      <c r="H15" s="123">
        <f t="shared" si="0"/>
        <v>303790</v>
      </c>
      <c r="I15" s="598"/>
      <c r="J15" s="311">
        <f t="shared" si="4"/>
        <v>303790</v>
      </c>
      <c r="K15" s="116">
        <f>IF('対象者一覧表'!$G$28="","",'対象者一覧表'!$G$28)</f>
        <v>0</v>
      </c>
      <c r="L15" s="472"/>
      <c r="M15" s="115">
        <f t="shared" si="1"/>
        <v>0</v>
      </c>
      <c r="N15" s="598"/>
      <c r="O15" s="311">
        <f t="shared" si="5"/>
        <v>0</v>
      </c>
      <c r="P15" s="116">
        <f>IF('対象者一覧表'!$G$29="","",'対象者一覧表'!$G$29)</f>
        <v>0</v>
      </c>
      <c r="Q15" s="472"/>
      <c r="R15" s="115">
        <f t="shared" si="2"/>
        <v>0</v>
      </c>
      <c r="S15" s="678"/>
      <c r="T15" s="672">
        <f t="shared" si="3"/>
        <v>0</v>
      </c>
    </row>
    <row r="16" spans="1:20" ht="25.5" customHeight="1">
      <c r="A16" s="6"/>
      <c r="B16" s="587">
        <v>28</v>
      </c>
      <c r="C16" s="125" t="s">
        <v>29</v>
      </c>
      <c r="D16" s="590">
        <v>4</v>
      </c>
      <c r="E16" s="125" t="s">
        <v>21</v>
      </c>
      <c r="F16" s="116">
        <f>IF('対象者一覧表'!$G$27="","",'対象者一覧表'!$G$27)</f>
        <v>3574</v>
      </c>
      <c r="G16" s="472">
        <v>90</v>
      </c>
      <c r="H16" s="123">
        <f t="shared" si="0"/>
        <v>321660</v>
      </c>
      <c r="I16" s="598"/>
      <c r="J16" s="311">
        <f t="shared" si="4"/>
        <v>321660</v>
      </c>
      <c r="K16" s="116">
        <f>IF('対象者一覧表'!$G$28="","",'対象者一覧表'!$G$28)</f>
        <v>0</v>
      </c>
      <c r="L16" s="473"/>
      <c r="M16" s="115">
        <f t="shared" si="1"/>
        <v>0</v>
      </c>
      <c r="N16" s="598"/>
      <c r="O16" s="311">
        <f t="shared" si="5"/>
        <v>0</v>
      </c>
      <c r="P16" s="116">
        <f>IF('対象者一覧表'!$G$29="","",'対象者一覧表'!$G$29)</f>
        <v>0</v>
      </c>
      <c r="Q16" s="473"/>
      <c r="R16" s="115">
        <f t="shared" si="2"/>
        <v>0</v>
      </c>
      <c r="S16" s="678"/>
      <c r="T16" s="672">
        <f t="shared" si="3"/>
        <v>0</v>
      </c>
    </row>
    <row r="17" spans="1:20" ht="25.5" customHeight="1">
      <c r="A17" s="6"/>
      <c r="B17" s="587">
        <v>28</v>
      </c>
      <c r="C17" s="124" t="s">
        <v>29</v>
      </c>
      <c r="D17" s="590">
        <v>5</v>
      </c>
      <c r="E17" s="124" t="s">
        <v>21</v>
      </c>
      <c r="F17" s="116">
        <f>IF('対象者一覧表'!$G$27="","",'対象者一覧表'!$G$27)</f>
        <v>3574</v>
      </c>
      <c r="G17" s="472">
        <v>90</v>
      </c>
      <c r="H17" s="123">
        <f t="shared" si="0"/>
        <v>321660</v>
      </c>
      <c r="I17" s="598"/>
      <c r="J17" s="311">
        <f t="shared" si="4"/>
        <v>321660</v>
      </c>
      <c r="K17" s="116">
        <f>IF('対象者一覧表'!$G$28="","",'対象者一覧表'!$G$28)</f>
        <v>0</v>
      </c>
      <c r="L17" s="472"/>
      <c r="M17" s="115">
        <f t="shared" si="1"/>
        <v>0</v>
      </c>
      <c r="N17" s="598"/>
      <c r="O17" s="311">
        <f t="shared" si="5"/>
        <v>0</v>
      </c>
      <c r="P17" s="116">
        <f>IF('対象者一覧表'!$G$29="","",'対象者一覧表'!$G$29)</f>
        <v>0</v>
      </c>
      <c r="Q17" s="472"/>
      <c r="R17" s="115">
        <f t="shared" si="2"/>
        <v>0</v>
      </c>
      <c r="S17" s="678"/>
      <c r="T17" s="672">
        <f t="shared" si="3"/>
        <v>0</v>
      </c>
    </row>
    <row r="18" spans="1:22" ht="25.5" customHeight="1">
      <c r="A18" s="6"/>
      <c r="B18" s="587">
        <v>28</v>
      </c>
      <c r="C18" s="124" t="s">
        <v>29</v>
      </c>
      <c r="D18" s="590">
        <v>6</v>
      </c>
      <c r="E18" s="124" t="s">
        <v>21</v>
      </c>
      <c r="F18" s="116">
        <f>IF('対象者一覧表'!$G$27="","",'対象者一覧表'!$G$27)</f>
        <v>3574</v>
      </c>
      <c r="G18" s="472">
        <v>90</v>
      </c>
      <c r="H18" s="123">
        <f t="shared" si="0"/>
        <v>321660</v>
      </c>
      <c r="I18" s="598"/>
      <c r="J18" s="311">
        <f t="shared" si="4"/>
        <v>321660</v>
      </c>
      <c r="K18" s="116">
        <f>IF('対象者一覧表'!$G$28="","",'対象者一覧表'!$G$28)</f>
        <v>0</v>
      </c>
      <c r="L18" s="472"/>
      <c r="M18" s="115">
        <f t="shared" si="1"/>
        <v>0</v>
      </c>
      <c r="N18" s="598"/>
      <c r="O18" s="311">
        <f t="shared" si="5"/>
        <v>0</v>
      </c>
      <c r="P18" s="116">
        <f>IF('対象者一覧表'!$G$29="","",'対象者一覧表'!$G$29)</f>
        <v>0</v>
      </c>
      <c r="Q18" s="472"/>
      <c r="R18" s="115">
        <f t="shared" si="2"/>
        <v>0</v>
      </c>
      <c r="S18" s="678"/>
      <c r="T18" s="672">
        <f t="shared" si="3"/>
        <v>0</v>
      </c>
      <c r="V18" s="103"/>
    </row>
    <row r="19" spans="1:22" ht="25.5" customHeight="1">
      <c r="A19" s="6"/>
      <c r="B19" s="587">
        <v>28</v>
      </c>
      <c r="C19" s="124" t="s">
        <v>29</v>
      </c>
      <c r="D19" s="590">
        <v>7</v>
      </c>
      <c r="E19" s="124" t="s">
        <v>21</v>
      </c>
      <c r="F19" s="116">
        <f>IF('対象者一覧表'!$G$27="","",'対象者一覧表'!$G$27)</f>
        <v>3574</v>
      </c>
      <c r="G19" s="472">
        <v>100</v>
      </c>
      <c r="H19" s="123">
        <f t="shared" si="0"/>
        <v>357400</v>
      </c>
      <c r="I19" s="598"/>
      <c r="J19" s="311">
        <f t="shared" si="4"/>
        <v>357400</v>
      </c>
      <c r="K19" s="116">
        <f>IF('対象者一覧表'!$G$28="","",'対象者一覧表'!$G$28)</f>
        <v>0</v>
      </c>
      <c r="L19" s="472"/>
      <c r="M19" s="115">
        <f t="shared" si="1"/>
        <v>0</v>
      </c>
      <c r="N19" s="598"/>
      <c r="O19" s="311">
        <f t="shared" si="5"/>
        <v>0</v>
      </c>
      <c r="P19" s="116">
        <f>IF('対象者一覧表'!$G$29="","",'対象者一覧表'!$G$29)</f>
        <v>0</v>
      </c>
      <c r="Q19" s="472"/>
      <c r="R19" s="115">
        <f t="shared" si="2"/>
        <v>0</v>
      </c>
      <c r="S19" s="678"/>
      <c r="T19" s="672">
        <f t="shared" si="3"/>
        <v>0</v>
      </c>
      <c r="V19" s="103"/>
    </row>
    <row r="20" spans="1:22" ht="25.5" customHeight="1">
      <c r="A20" s="6"/>
      <c r="B20" s="587">
        <v>28</v>
      </c>
      <c r="C20" s="124" t="s">
        <v>29</v>
      </c>
      <c r="D20" s="590">
        <v>8</v>
      </c>
      <c r="E20" s="124" t="s">
        <v>30</v>
      </c>
      <c r="F20" s="116">
        <f>IF('対象者一覧表'!$G$27="","",'対象者一覧表'!$G$27)</f>
        <v>3574</v>
      </c>
      <c r="G20" s="472">
        <v>100</v>
      </c>
      <c r="H20" s="123">
        <f t="shared" si="0"/>
        <v>357400</v>
      </c>
      <c r="I20" s="598"/>
      <c r="J20" s="311">
        <f t="shared" si="4"/>
        <v>357400</v>
      </c>
      <c r="K20" s="116">
        <f>IF('対象者一覧表'!$G$28="","",'対象者一覧表'!$G$28)</f>
        <v>0</v>
      </c>
      <c r="L20" s="472"/>
      <c r="M20" s="115">
        <f t="shared" si="1"/>
        <v>0</v>
      </c>
      <c r="N20" s="598"/>
      <c r="O20" s="311">
        <f t="shared" si="5"/>
        <v>0</v>
      </c>
      <c r="P20" s="116">
        <f>IF('対象者一覧表'!$G$29="","",'対象者一覧表'!$G$29)</f>
        <v>0</v>
      </c>
      <c r="Q20" s="472"/>
      <c r="R20" s="115">
        <f t="shared" si="2"/>
        <v>0</v>
      </c>
      <c r="S20" s="678"/>
      <c r="T20" s="672">
        <f t="shared" si="3"/>
        <v>0</v>
      </c>
      <c r="V20" s="76"/>
    </row>
    <row r="21" spans="1:22" ht="25.5" customHeight="1">
      <c r="A21" s="6"/>
      <c r="B21" s="587"/>
      <c r="C21" s="124" t="s">
        <v>29</v>
      </c>
      <c r="D21" s="590"/>
      <c r="E21" s="124" t="s">
        <v>21</v>
      </c>
      <c r="F21" s="116">
        <f>IF('対象者一覧表'!$G$27="","",'対象者一覧表'!$G$27)</f>
        <v>3574</v>
      </c>
      <c r="G21" s="472"/>
      <c r="H21" s="123">
        <f t="shared" si="0"/>
        <v>0</v>
      </c>
      <c r="I21" s="598"/>
      <c r="J21" s="311">
        <f t="shared" si="4"/>
        <v>0</v>
      </c>
      <c r="K21" s="116">
        <f>IF('対象者一覧表'!$G$28="","",'対象者一覧表'!$G$28)</f>
        <v>0</v>
      </c>
      <c r="L21" s="472"/>
      <c r="M21" s="115">
        <f t="shared" si="1"/>
        <v>0</v>
      </c>
      <c r="N21" s="598"/>
      <c r="O21" s="311">
        <f t="shared" si="5"/>
        <v>0</v>
      </c>
      <c r="P21" s="116">
        <f>IF('対象者一覧表'!$G$29="","",'対象者一覧表'!$G$29)</f>
        <v>0</v>
      </c>
      <c r="Q21" s="472"/>
      <c r="R21" s="115">
        <f t="shared" si="2"/>
        <v>0</v>
      </c>
      <c r="S21" s="678"/>
      <c r="T21" s="672">
        <f t="shared" si="3"/>
        <v>0</v>
      </c>
      <c r="V21" s="76"/>
    </row>
    <row r="22" spans="1:22" ht="25.5" customHeight="1">
      <c r="A22" s="6"/>
      <c r="B22" s="587"/>
      <c r="C22" s="124" t="s">
        <v>29</v>
      </c>
      <c r="D22" s="590"/>
      <c r="E22" s="124" t="s">
        <v>21</v>
      </c>
      <c r="F22" s="116">
        <f>IF('対象者一覧表'!$G$27="","",'対象者一覧表'!$G$27)</f>
        <v>3574</v>
      </c>
      <c r="G22" s="472"/>
      <c r="H22" s="123">
        <f t="shared" si="0"/>
        <v>0</v>
      </c>
      <c r="I22" s="675"/>
      <c r="J22" s="311">
        <f t="shared" si="4"/>
        <v>0</v>
      </c>
      <c r="K22" s="116">
        <f>IF('対象者一覧表'!$G$28="","",'対象者一覧表'!$G$28)</f>
        <v>0</v>
      </c>
      <c r="L22" s="473"/>
      <c r="M22" s="115">
        <f t="shared" si="1"/>
        <v>0</v>
      </c>
      <c r="N22" s="675"/>
      <c r="O22" s="311">
        <f t="shared" si="5"/>
        <v>0</v>
      </c>
      <c r="P22" s="116">
        <f>IF('対象者一覧表'!$G$29="","",'対象者一覧表'!$G$29)</f>
        <v>0</v>
      </c>
      <c r="Q22" s="473"/>
      <c r="R22" s="115">
        <f t="shared" si="2"/>
        <v>0</v>
      </c>
      <c r="S22" s="678"/>
      <c r="T22" s="672">
        <f t="shared" si="3"/>
        <v>0</v>
      </c>
      <c r="V22" s="76"/>
    </row>
    <row r="23" spans="1:20" ht="25.5" customHeight="1" thickBot="1">
      <c r="A23" s="6"/>
      <c r="B23" s="588"/>
      <c r="C23" s="126" t="s">
        <v>29</v>
      </c>
      <c r="D23" s="592"/>
      <c r="E23" s="126" t="s">
        <v>21</v>
      </c>
      <c r="F23" s="131">
        <f>IF('対象者一覧表'!$G$27="","",'対象者一覧表'!$G$27)</f>
        <v>3574</v>
      </c>
      <c r="G23" s="474"/>
      <c r="H23" s="132">
        <f t="shared" si="0"/>
        <v>0</v>
      </c>
      <c r="I23" s="676"/>
      <c r="J23" s="312">
        <f t="shared" si="4"/>
        <v>0</v>
      </c>
      <c r="K23" s="131">
        <f>IF('対象者一覧表'!$G$28="","",'対象者一覧表'!$G$28)</f>
        <v>0</v>
      </c>
      <c r="L23" s="474"/>
      <c r="M23" s="133">
        <f t="shared" si="1"/>
        <v>0</v>
      </c>
      <c r="N23" s="676"/>
      <c r="O23" s="312">
        <f t="shared" si="5"/>
        <v>0</v>
      </c>
      <c r="P23" s="131">
        <f>IF('対象者一覧表'!$G$29="","",'対象者一覧表'!$G$29)</f>
        <v>0</v>
      </c>
      <c r="Q23" s="474"/>
      <c r="R23" s="133">
        <f t="shared" si="2"/>
        <v>0</v>
      </c>
      <c r="S23" s="679"/>
      <c r="T23" s="673">
        <f t="shared" si="3"/>
        <v>0</v>
      </c>
    </row>
    <row r="24" spans="1:20" ht="25.5" customHeight="1" thickBot="1">
      <c r="A24" s="6"/>
      <c r="B24" s="1106" t="s">
        <v>0</v>
      </c>
      <c r="C24" s="1107"/>
      <c r="D24" s="1107"/>
      <c r="E24" s="1108"/>
      <c r="F24" s="109"/>
      <c r="G24" s="110">
        <f>SUM(G13:G23)</f>
        <v>725</v>
      </c>
      <c r="H24" s="111">
        <f>SUM(H13:H23)</f>
        <v>2591150</v>
      </c>
      <c r="I24" s="548">
        <f>SUM(I13:I23)</f>
        <v>0</v>
      </c>
      <c r="J24" s="165">
        <f>SUM(J13:J23)</f>
        <v>2591150</v>
      </c>
      <c r="K24" s="112"/>
      <c r="L24" s="110">
        <f>SUM(L13:L23)</f>
        <v>0</v>
      </c>
      <c r="M24" s="111">
        <f>SUM(M13:M23)</f>
        <v>0</v>
      </c>
      <c r="N24" s="548">
        <f>SUM(N13:N23)</f>
        <v>0</v>
      </c>
      <c r="O24" s="165">
        <f>SUM(O13:O23)</f>
        <v>0</v>
      </c>
      <c r="P24" s="112"/>
      <c r="Q24" s="110">
        <f>SUM(Q13:Q23)</f>
        <v>0</v>
      </c>
      <c r="R24" s="113">
        <f>SUM(R13:R23)</f>
        <v>0</v>
      </c>
      <c r="S24" s="550">
        <f>SUM(S13:S23)</f>
        <v>0</v>
      </c>
      <c r="T24" s="179">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112" t="s">
        <v>2</v>
      </c>
      <c r="C26" s="1113"/>
      <c r="D26" s="1113"/>
      <c r="E26" s="1113"/>
      <c r="F26" s="1114" t="str">
        <f>'対象者一覧表'!C30</f>
        <v>山本　卯助</v>
      </c>
      <c r="G26" s="1086"/>
      <c r="H26" s="1086"/>
      <c r="I26" s="1086"/>
      <c r="J26" s="1087"/>
      <c r="K26" s="1085" t="str">
        <f>'対象者一覧表'!C31</f>
        <v>佐藤　辰一郎</v>
      </c>
      <c r="L26" s="1086"/>
      <c r="M26" s="1086"/>
      <c r="N26" s="1086"/>
      <c r="O26" s="1087"/>
      <c r="P26" s="1085" t="str">
        <f>'対象者一覧表'!C32</f>
        <v>渡辺　克巳</v>
      </c>
      <c r="Q26" s="1086"/>
      <c r="R26" s="1086"/>
      <c r="S26" s="1086"/>
      <c r="T26" s="1109"/>
    </row>
    <row r="27" spans="1:20" ht="33.75" customHeight="1">
      <c r="A27" s="6"/>
      <c r="B27" s="1097" t="s">
        <v>687</v>
      </c>
      <c r="C27" s="1098"/>
      <c r="D27" s="1098"/>
      <c r="E27" s="1099"/>
      <c r="F27" s="304" t="s">
        <v>3</v>
      </c>
      <c r="G27" s="297" t="s">
        <v>4</v>
      </c>
      <c r="H27" s="298" t="s">
        <v>5</v>
      </c>
      <c r="I27" s="1090" t="s">
        <v>640</v>
      </c>
      <c r="J27" s="1088" t="s">
        <v>641</v>
      </c>
      <c r="K27" s="296" t="s">
        <v>3</v>
      </c>
      <c r="L27" s="297" t="s">
        <v>4</v>
      </c>
      <c r="M27" s="298" t="s">
        <v>5</v>
      </c>
      <c r="N27" s="1090" t="s">
        <v>640</v>
      </c>
      <c r="O27" s="1088" t="s">
        <v>641</v>
      </c>
      <c r="P27" s="296" t="s">
        <v>3</v>
      </c>
      <c r="Q27" s="297" t="s">
        <v>4</v>
      </c>
      <c r="R27" s="298" t="s">
        <v>5</v>
      </c>
      <c r="S27" s="1090" t="s">
        <v>640</v>
      </c>
      <c r="T27" s="1088" t="s">
        <v>641</v>
      </c>
    </row>
    <row r="28" spans="1:20" ht="14.25" customHeight="1">
      <c r="A28" s="6"/>
      <c r="B28" s="1100"/>
      <c r="C28" s="1101"/>
      <c r="D28" s="1101"/>
      <c r="E28" s="1102"/>
      <c r="F28" s="305" t="s">
        <v>6</v>
      </c>
      <c r="G28" s="301" t="s">
        <v>7</v>
      </c>
      <c r="H28" s="302"/>
      <c r="I28" s="1091"/>
      <c r="J28" s="1089"/>
      <c r="K28" s="300" t="s">
        <v>6</v>
      </c>
      <c r="L28" s="301" t="s">
        <v>7</v>
      </c>
      <c r="M28" s="302"/>
      <c r="N28" s="1091"/>
      <c r="O28" s="1089"/>
      <c r="P28" s="300" t="s">
        <v>6</v>
      </c>
      <c r="Q28" s="301" t="s">
        <v>7</v>
      </c>
      <c r="R28" s="302"/>
      <c r="S28" s="1091"/>
      <c r="T28" s="1089"/>
    </row>
    <row r="29" spans="1:20" ht="14.25" customHeight="1" thickBot="1">
      <c r="A29" s="6"/>
      <c r="B29" s="1103"/>
      <c r="C29" s="1104"/>
      <c r="D29" s="1104"/>
      <c r="E29" s="1105"/>
      <c r="F29" s="305" t="s">
        <v>8</v>
      </c>
      <c r="G29" s="301" t="s">
        <v>9</v>
      </c>
      <c r="H29" s="302" t="s">
        <v>10</v>
      </c>
      <c r="I29" s="1091"/>
      <c r="J29" s="1089"/>
      <c r="K29" s="300" t="s">
        <v>8</v>
      </c>
      <c r="L29" s="301" t="s">
        <v>9</v>
      </c>
      <c r="M29" s="302" t="s">
        <v>10</v>
      </c>
      <c r="N29" s="1091"/>
      <c r="O29" s="1089"/>
      <c r="P29" s="300" t="s">
        <v>8</v>
      </c>
      <c r="Q29" s="301" t="s">
        <v>9</v>
      </c>
      <c r="R29" s="302" t="s">
        <v>10</v>
      </c>
      <c r="S29" s="1091"/>
      <c r="T29" s="1089"/>
    </row>
    <row r="30" spans="1:22" ht="25.5" customHeight="1">
      <c r="A30" s="6"/>
      <c r="B30" s="586"/>
      <c r="C30" s="130" t="s">
        <v>29</v>
      </c>
      <c r="D30" s="589"/>
      <c r="E30" s="157" t="s">
        <v>30</v>
      </c>
      <c r="F30" s="120">
        <f>IF('対象者一覧表'!$G$30="","",'対象者一覧表'!$G$30)</f>
        <v>0</v>
      </c>
      <c r="G30" s="471"/>
      <c r="H30" s="122">
        <f aca="true" t="shared" si="6" ref="H30:H40">IF(F30="","",ROUNDDOWN((G30*F30),0))</f>
        <v>0</v>
      </c>
      <c r="I30" s="674"/>
      <c r="J30" s="670">
        <f>IF(F30="","",MIN(H30,I30))</f>
        <v>0</v>
      </c>
      <c r="K30" s="120">
        <f>IF('対象者一覧表'!$G$31="","",'対象者一覧表'!$G$31)</f>
        <v>0</v>
      </c>
      <c r="L30" s="471"/>
      <c r="M30" s="122">
        <f aca="true" t="shared" si="7" ref="M30:M40">IF(K30="","",ROUNDDOWN((L30*K30),0))</f>
        <v>0</v>
      </c>
      <c r="N30" s="674"/>
      <c r="O30" s="670">
        <f>IF(K30="","",MIN(M30,N30))</f>
        <v>0</v>
      </c>
      <c r="P30" s="120">
        <f>IF('対象者一覧表'!$G$32="","",'対象者一覧表'!$G$32)</f>
        <v>0</v>
      </c>
      <c r="Q30" s="471"/>
      <c r="R30" s="122">
        <f aca="true" t="shared" si="8" ref="R30:R40">IF(P30="","",ROUNDDOWN((Q30*P30),0))</f>
        <v>0</v>
      </c>
      <c r="S30" s="677"/>
      <c r="T30" s="670">
        <f>IF(P30="","",MIN(R30,S30))</f>
        <v>0</v>
      </c>
      <c r="V30" s="2"/>
    </row>
    <row r="31" spans="1:22" ht="25.5" customHeight="1">
      <c r="A31" s="6"/>
      <c r="B31" s="587"/>
      <c r="C31" s="124" t="s">
        <v>29</v>
      </c>
      <c r="D31" s="590"/>
      <c r="E31" s="124" t="s">
        <v>30</v>
      </c>
      <c r="F31" s="116">
        <f>IF('対象者一覧表'!$G$30="","",'対象者一覧表'!$G$30)</f>
        <v>0</v>
      </c>
      <c r="G31" s="472"/>
      <c r="H31" s="115">
        <f t="shared" si="6"/>
        <v>0</v>
      </c>
      <c r="I31" s="675"/>
      <c r="J31" s="311">
        <f aca="true" t="shared" si="9" ref="J31:J40">IF(F31="","",MIN(H31,I31))</f>
        <v>0</v>
      </c>
      <c r="K31" s="116">
        <f>IF('対象者一覧表'!$G$31="","",'対象者一覧表'!$G$31)</f>
        <v>0</v>
      </c>
      <c r="L31" s="472"/>
      <c r="M31" s="115">
        <f t="shared" si="7"/>
        <v>0</v>
      </c>
      <c r="N31" s="675"/>
      <c r="O31" s="311">
        <f aca="true" t="shared" si="10" ref="O31:O40">IF(K31="","",MIN(M31,N31))</f>
        <v>0</v>
      </c>
      <c r="P31" s="116">
        <f>IF('対象者一覧表'!$G$32="","",'対象者一覧表'!$G$32)</f>
        <v>0</v>
      </c>
      <c r="Q31" s="472"/>
      <c r="R31" s="115">
        <f t="shared" si="8"/>
        <v>0</v>
      </c>
      <c r="S31" s="678"/>
      <c r="T31" s="672">
        <f aca="true" t="shared" si="11" ref="T31:T40">IF(P31="","",MIN(R31,S31))</f>
        <v>0</v>
      </c>
      <c r="V31" s="2"/>
    </row>
    <row r="32" spans="1:22" ht="25.5" customHeight="1">
      <c r="A32" s="6"/>
      <c r="B32" s="587"/>
      <c r="C32" s="124" t="s">
        <v>29</v>
      </c>
      <c r="D32" s="590"/>
      <c r="E32" s="158" t="s">
        <v>30</v>
      </c>
      <c r="F32" s="116">
        <f>IF('対象者一覧表'!$G$30="","",'対象者一覧表'!$G$30)</f>
        <v>0</v>
      </c>
      <c r="G32" s="472"/>
      <c r="H32" s="115">
        <f t="shared" si="6"/>
        <v>0</v>
      </c>
      <c r="I32" s="675"/>
      <c r="J32" s="311">
        <f t="shared" si="9"/>
        <v>0</v>
      </c>
      <c r="K32" s="116">
        <f>IF('対象者一覧表'!$G$31="","",'対象者一覧表'!$G$31)</f>
        <v>0</v>
      </c>
      <c r="L32" s="472"/>
      <c r="M32" s="115">
        <f t="shared" si="7"/>
        <v>0</v>
      </c>
      <c r="N32" s="675"/>
      <c r="O32" s="311">
        <f t="shared" si="10"/>
        <v>0</v>
      </c>
      <c r="P32" s="116">
        <f>IF('対象者一覧表'!$G$32="","",'対象者一覧表'!$G$32)</f>
        <v>0</v>
      </c>
      <c r="Q32" s="472"/>
      <c r="R32" s="115">
        <f t="shared" si="8"/>
        <v>0</v>
      </c>
      <c r="S32" s="678"/>
      <c r="T32" s="672">
        <f t="shared" si="11"/>
        <v>0</v>
      </c>
      <c r="V32" s="43"/>
    </row>
    <row r="33" spans="1:20" ht="25.5" customHeight="1">
      <c r="A33" s="6"/>
      <c r="B33" s="593"/>
      <c r="C33" s="125" t="s">
        <v>29</v>
      </c>
      <c r="D33" s="591"/>
      <c r="E33" s="125" t="s">
        <v>21</v>
      </c>
      <c r="F33" s="116">
        <f>IF('対象者一覧表'!$G$30="","",'対象者一覧表'!$G$30)</f>
        <v>0</v>
      </c>
      <c r="G33" s="473"/>
      <c r="H33" s="115">
        <f t="shared" si="6"/>
        <v>0</v>
      </c>
      <c r="I33" s="675"/>
      <c r="J33" s="311">
        <f t="shared" si="9"/>
        <v>0</v>
      </c>
      <c r="K33" s="116">
        <f>IF('対象者一覧表'!$G$31="","",'対象者一覧表'!$G$31)</f>
        <v>0</v>
      </c>
      <c r="L33" s="473"/>
      <c r="M33" s="115">
        <f t="shared" si="7"/>
        <v>0</v>
      </c>
      <c r="N33" s="675"/>
      <c r="O33" s="311">
        <f t="shared" si="10"/>
        <v>0</v>
      </c>
      <c r="P33" s="116">
        <f>IF('対象者一覧表'!$G$32="","",'対象者一覧表'!$G$32)</f>
        <v>0</v>
      </c>
      <c r="Q33" s="473"/>
      <c r="R33" s="115">
        <f t="shared" si="8"/>
        <v>0</v>
      </c>
      <c r="S33" s="678"/>
      <c r="T33" s="672">
        <f t="shared" si="11"/>
        <v>0</v>
      </c>
    </row>
    <row r="34" spans="1:20" ht="25.5" customHeight="1">
      <c r="A34" s="6"/>
      <c r="B34" s="587"/>
      <c r="C34" s="124" t="s">
        <v>29</v>
      </c>
      <c r="D34" s="590"/>
      <c r="E34" s="124" t="s">
        <v>21</v>
      </c>
      <c r="F34" s="116">
        <f>IF('対象者一覧表'!$G$30="","",'対象者一覧表'!$G$30)</f>
        <v>0</v>
      </c>
      <c r="G34" s="472"/>
      <c r="H34" s="115">
        <f t="shared" si="6"/>
        <v>0</v>
      </c>
      <c r="I34" s="675"/>
      <c r="J34" s="311">
        <f t="shared" si="9"/>
        <v>0</v>
      </c>
      <c r="K34" s="116">
        <f>IF('対象者一覧表'!$G$31="","",'対象者一覧表'!$G$31)</f>
        <v>0</v>
      </c>
      <c r="L34" s="472"/>
      <c r="M34" s="115">
        <f t="shared" si="7"/>
        <v>0</v>
      </c>
      <c r="N34" s="675"/>
      <c r="O34" s="311">
        <f t="shared" si="10"/>
        <v>0</v>
      </c>
      <c r="P34" s="116">
        <f>IF('対象者一覧表'!$G$32="","",'対象者一覧表'!$G$32)</f>
        <v>0</v>
      </c>
      <c r="Q34" s="472"/>
      <c r="R34" s="115">
        <f t="shared" si="8"/>
        <v>0</v>
      </c>
      <c r="S34" s="678"/>
      <c r="T34" s="672">
        <f t="shared" si="11"/>
        <v>0</v>
      </c>
    </row>
    <row r="35" spans="1:20" ht="25.5" customHeight="1">
      <c r="A35" s="6"/>
      <c r="B35" s="587"/>
      <c r="C35" s="124" t="s">
        <v>29</v>
      </c>
      <c r="D35" s="590"/>
      <c r="E35" s="124" t="s">
        <v>21</v>
      </c>
      <c r="F35" s="116">
        <f>IF('対象者一覧表'!$G$30="","",'対象者一覧表'!$G$30)</f>
        <v>0</v>
      </c>
      <c r="G35" s="472"/>
      <c r="H35" s="115">
        <f t="shared" si="6"/>
        <v>0</v>
      </c>
      <c r="I35" s="675"/>
      <c r="J35" s="311">
        <f t="shared" si="9"/>
        <v>0</v>
      </c>
      <c r="K35" s="116">
        <f>IF('対象者一覧表'!$G$31="","",'対象者一覧表'!$G$31)</f>
        <v>0</v>
      </c>
      <c r="L35" s="472"/>
      <c r="M35" s="115">
        <f t="shared" si="7"/>
        <v>0</v>
      </c>
      <c r="N35" s="675"/>
      <c r="O35" s="311">
        <f t="shared" si="10"/>
        <v>0</v>
      </c>
      <c r="P35" s="116">
        <f>IF('対象者一覧表'!$G$32="","",'対象者一覧表'!$G$32)</f>
        <v>0</v>
      </c>
      <c r="Q35" s="472"/>
      <c r="R35" s="115">
        <f t="shared" si="8"/>
        <v>0</v>
      </c>
      <c r="S35" s="678"/>
      <c r="T35" s="672">
        <f t="shared" si="11"/>
        <v>0</v>
      </c>
    </row>
    <row r="36" spans="1:20" ht="25.5" customHeight="1">
      <c r="A36" s="6"/>
      <c r="B36" s="587"/>
      <c r="C36" s="124" t="s">
        <v>29</v>
      </c>
      <c r="D36" s="590"/>
      <c r="E36" s="124" t="s">
        <v>21</v>
      </c>
      <c r="F36" s="116">
        <f>IF('対象者一覧表'!$G$30="","",'対象者一覧表'!$G$30)</f>
        <v>0</v>
      </c>
      <c r="G36" s="472"/>
      <c r="H36" s="115">
        <f t="shared" si="6"/>
        <v>0</v>
      </c>
      <c r="I36" s="675"/>
      <c r="J36" s="311">
        <f t="shared" si="9"/>
        <v>0</v>
      </c>
      <c r="K36" s="116">
        <f>IF('対象者一覧表'!$G$31="","",'対象者一覧表'!$G$31)</f>
        <v>0</v>
      </c>
      <c r="L36" s="472"/>
      <c r="M36" s="115">
        <f t="shared" si="7"/>
        <v>0</v>
      </c>
      <c r="N36" s="675"/>
      <c r="O36" s="311">
        <f t="shared" si="10"/>
        <v>0</v>
      </c>
      <c r="P36" s="116">
        <f>IF('対象者一覧表'!$G$32="","",'対象者一覧表'!$G$32)</f>
        <v>0</v>
      </c>
      <c r="Q36" s="472"/>
      <c r="R36" s="115">
        <f t="shared" si="8"/>
        <v>0</v>
      </c>
      <c r="S36" s="678"/>
      <c r="T36" s="672">
        <f t="shared" si="11"/>
        <v>0</v>
      </c>
    </row>
    <row r="37" spans="1:20" ht="25.5" customHeight="1">
      <c r="A37" s="6"/>
      <c r="B37" s="587"/>
      <c r="C37" s="124" t="s">
        <v>29</v>
      </c>
      <c r="D37" s="590"/>
      <c r="E37" s="124" t="s">
        <v>30</v>
      </c>
      <c r="F37" s="116">
        <f>IF('対象者一覧表'!$G$30="","",'対象者一覧表'!$G$30)</f>
        <v>0</v>
      </c>
      <c r="G37" s="472"/>
      <c r="H37" s="115">
        <f t="shared" si="6"/>
        <v>0</v>
      </c>
      <c r="I37" s="675"/>
      <c r="J37" s="311">
        <f t="shared" si="9"/>
        <v>0</v>
      </c>
      <c r="K37" s="116">
        <f>IF('対象者一覧表'!$G$31="","",'対象者一覧表'!$G$31)</f>
        <v>0</v>
      </c>
      <c r="L37" s="472"/>
      <c r="M37" s="115">
        <f t="shared" si="7"/>
        <v>0</v>
      </c>
      <c r="N37" s="675"/>
      <c r="O37" s="311">
        <f t="shared" si="10"/>
        <v>0</v>
      </c>
      <c r="P37" s="116">
        <f>IF('対象者一覧表'!$G$32="","",'対象者一覧表'!$G$32)</f>
        <v>0</v>
      </c>
      <c r="Q37" s="472"/>
      <c r="R37" s="115">
        <f t="shared" si="8"/>
        <v>0</v>
      </c>
      <c r="S37" s="678"/>
      <c r="T37" s="672">
        <f t="shared" si="11"/>
        <v>0</v>
      </c>
    </row>
    <row r="38" spans="1:20" ht="25.5" customHeight="1">
      <c r="A38" s="6"/>
      <c r="B38" s="587"/>
      <c r="C38" s="124" t="s">
        <v>29</v>
      </c>
      <c r="D38" s="590"/>
      <c r="E38" s="124" t="s">
        <v>21</v>
      </c>
      <c r="F38" s="116">
        <f>IF('対象者一覧表'!$G$30="","",'対象者一覧表'!$G$30)</f>
        <v>0</v>
      </c>
      <c r="G38" s="472"/>
      <c r="H38" s="115">
        <f t="shared" si="6"/>
        <v>0</v>
      </c>
      <c r="I38" s="675"/>
      <c r="J38" s="311">
        <f t="shared" si="9"/>
        <v>0</v>
      </c>
      <c r="K38" s="116">
        <f>IF('対象者一覧表'!$G$31="","",'対象者一覧表'!$G$31)</f>
        <v>0</v>
      </c>
      <c r="L38" s="472"/>
      <c r="M38" s="115">
        <f t="shared" si="7"/>
        <v>0</v>
      </c>
      <c r="N38" s="675"/>
      <c r="O38" s="311">
        <f t="shared" si="10"/>
        <v>0</v>
      </c>
      <c r="P38" s="116">
        <f>IF('対象者一覧表'!$G$32="","",'対象者一覧表'!$G$32)</f>
        <v>0</v>
      </c>
      <c r="Q38" s="472"/>
      <c r="R38" s="115">
        <f t="shared" si="8"/>
        <v>0</v>
      </c>
      <c r="S38" s="678"/>
      <c r="T38" s="672">
        <f t="shared" si="11"/>
        <v>0</v>
      </c>
    </row>
    <row r="39" spans="1:20" ht="25.5" customHeight="1">
      <c r="A39" s="6"/>
      <c r="B39" s="587"/>
      <c r="C39" s="124" t="s">
        <v>29</v>
      </c>
      <c r="D39" s="590"/>
      <c r="E39" s="124" t="s">
        <v>21</v>
      </c>
      <c r="F39" s="116">
        <f>IF('対象者一覧表'!$G$30="","",'対象者一覧表'!$G$30)</f>
        <v>0</v>
      </c>
      <c r="G39" s="473"/>
      <c r="H39" s="115">
        <f t="shared" si="6"/>
        <v>0</v>
      </c>
      <c r="I39" s="675"/>
      <c r="J39" s="311">
        <f t="shared" si="9"/>
        <v>0</v>
      </c>
      <c r="K39" s="116">
        <f>IF('対象者一覧表'!$G$31="","",'対象者一覧表'!$G$31)</f>
        <v>0</v>
      </c>
      <c r="L39" s="473"/>
      <c r="M39" s="115">
        <f t="shared" si="7"/>
        <v>0</v>
      </c>
      <c r="N39" s="675"/>
      <c r="O39" s="311">
        <f t="shared" si="10"/>
        <v>0</v>
      </c>
      <c r="P39" s="116">
        <f>IF('対象者一覧表'!$G$32="","",'対象者一覧表'!$G$32)</f>
        <v>0</v>
      </c>
      <c r="Q39" s="473"/>
      <c r="R39" s="115">
        <f t="shared" si="8"/>
        <v>0</v>
      </c>
      <c r="S39" s="678"/>
      <c r="T39" s="672">
        <f t="shared" si="11"/>
        <v>0</v>
      </c>
    </row>
    <row r="40" spans="1:20" ht="25.5" customHeight="1" thickBot="1">
      <c r="A40" s="6"/>
      <c r="B40" s="588"/>
      <c r="C40" s="126" t="s">
        <v>29</v>
      </c>
      <c r="D40" s="592"/>
      <c r="E40" s="126" t="s">
        <v>21</v>
      </c>
      <c r="F40" s="131">
        <f>IF('対象者一覧表'!$G$30="","",'対象者一覧表'!$G$30)</f>
        <v>0</v>
      </c>
      <c r="G40" s="474"/>
      <c r="H40" s="133">
        <f t="shared" si="6"/>
        <v>0</v>
      </c>
      <c r="I40" s="676"/>
      <c r="J40" s="312">
        <f t="shared" si="9"/>
        <v>0</v>
      </c>
      <c r="K40" s="131">
        <f>IF('対象者一覧表'!$G$31="","",'対象者一覧表'!$G$31)</f>
        <v>0</v>
      </c>
      <c r="L40" s="474"/>
      <c r="M40" s="133">
        <f t="shared" si="7"/>
        <v>0</v>
      </c>
      <c r="N40" s="676"/>
      <c r="O40" s="312">
        <f t="shared" si="10"/>
        <v>0</v>
      </c>
      <c r="P40" s="131">
        <f>IF('対象者一覧表'!$G$32="","",'対象者一覧表'!$G$32)</f>
        <v>0</v>
      </c>
      <c r="Q40" s="474"/>
      <c r="R40" s="133">
        <f t="shared" si="8"/>
        <v>0</v>
      </c>
      <c r="S40" s="679"/>
      <c r="T40" s="673">
        <f t="shared" si="11"/>
        <v>0</v>
      </c>
    </row>
    <row r="41" spans="1:20" ht="25.5" customHeight="1" thickBot="1">
      <c r="A41" s="6"/>
      <c r="B41" s="1095" t="s">
        <v>0</v>
      </c>
      <c r="C41" s="1083"/>
      <c r="D41" s="1083"/>
      <c r="E41" s="1096"/>
      <c r="F41" s="109"/>
      <c r="G41" s="110">
        <f>SUM(G30:G40)</f>
        <v>0</v>
      </c>
      <c r="H41" s="111">
        <f>SUM(H30:H40)</f>
        <v>0</v>
      </c>
      <c r="I41" s="548">
        <f>SUM(I30:I40)</f>
        <v>0</v>
      </c>
      <c r="J41" s="165">
        <f>SUM(J30:J40)</f>
        <v>0</v>
      </c>
      <c r="K41" s="112"/>
      <c r="L41" s="110">
        <f>SUM(L30:L40)</f>
        <v>0</v>
      </c>
      <c r="M41" s="111">
        <f>SUM(M30:M40)</f>
        <v>0</v>
      </c>
      <c r="N41" s="548">
        <f>SUM(N30:N40)</f>
        <v>0</v>
      </c>
      <c r="O41" s="165">
        <f>SUM(O30:O40)</f>
        <v>0</v>
      </c>
      <c r="P41" s="112"/>
      <c r="Q41" s="110">
        <f>SUM(Q30:Q40)</f>
        <v>0</v>
      </c>
      <c r="R41" s="111">
        <f>SUM(R30:R40)</f>
        <v>0</v>
      </c>
      <c r="S41" s="548">
        <f>SUM(S30:S40)</f>
        <v>0</v>
      </c>
      <c r="T41" s="165">
        <f>SUM(T30:T40)</f>
        <v>0</v>
      </c>
    </row>
    <row r="42" spans="1:20" ht="14.25" thickBot="1">
      <c r="A42" s="6"/>
      <c r="B42" s="30"/>
      <c r="C42" s="30"/>
      <c r="D42" s="30"/>
      <c r="E42" s="30"/>
      <c r="F42" s="77"/>
      <c r="G42" s="77"/>
      <c r="H42" s="77"/>
      <c r="I42" s="482"/>
      <c r="J42" s="77"/>
      <c r="K42" s="77"/>
      <c r="L42" s="77"/>
      <c r="M42" s="77"/>
      <c r="N42" s="482"/>
      <c r="O42" s="77"/>
      <c r="P42" s="77"/>
      <c r="Q42" s="77"/>
      <c r="R42" s="77"/>
      <c r="S42" s="482"/>
      <c r="T42" s="77"/>
    </row>
    <row r="43" spans="1:20" ht="25.5" customHeight="1" thickBot="1">
      <c r="A43" s="6"/>
      <c r="B43" s="1110" t="s">
        <v>90</v>
      </c>
      <c r="C43" s="1111"/>
      <c r="D43" s="1111"/>
      <c r="E43" s="1111"/>
      <c r="F43" s="78"/>
      <c r="G43" s="118">
        <f>SUM(J24,O24,T24,J41,O41,T41)</f>
        <v>2591150</v>
      </c>
      <c r="H43" s="79" t="s">
        <v>11</v>
      </c>
      <c r="I43" s="549"/>
      <c r="J43" s="105"/>
      <c r="K43" s="77"/>
      <c r="L43" s="77"/>
      <c r="M43" s="77"/>
      <c r="N43" s="482"/>
      <c r="O43" s="77"/>
      <c r="P43" s="77"/>
      <c r="Q43" s="77"/>
      <c r="R43" s="77"/>
      <c r="S43" s="482"/>
      <c r="T43" s="77"/>
    </row>
    <row r="44" spans="1:20" ht="13.5">
      <c r="A44" s="6"/>
      <c r="B44" s="106"/>
      <c r="C44" s="106"/>
      <c r="D44" s="106"/>
      <c r="E44" s="106"/>
      <c r="F44" s="31"/>
      <c r="G44" s="31"/>
      <c r="H44" s="32"/>
      <c r="I44" s="543"/>
      <c r="J44" s="32"/>
      <c r="K44" s="6"/>
      <c r="L44" s="6"/>
      <c r="M44" s="6"/>
      <c r="O44" s="6"/>
      <c r="P44" s="6"/>
      <c r="Q44" s="6"/>
      <c r="R44" s="6"/>
      <c r="T44" s="6"/>
    </row>
    <row r="45" ht="13.5">
      <c r="B45" s="100" t="s">
        <v>653</v>
      </c>
    </row>
    <row r="46" spans="2:12" ht="13.5">
      <c r="B46" s="100" t="s">
        <v>718</v>
      </c>
      <c r="L46" s="103"/>
    </row>
    <row r="47" spans="2:12" ht="13.5">
      <c r="B47" s="100" t="s">
        <v>719</v>
      </c>
      <c r="L47" s="103"/>
    </row>
    <row r="48" spans="2:12" ht="13.5">
      <c r="B48" s="196" t="s">
        <v>661</v>
      </c>
      <c r="L48" s="103"/>
    </row>
    <row r="49" spans="2:12" ht="13.5">
      <c r="B49" s="100" t="s">
        <v>657</v>
      </c>
      <c r="L49" s="103"/>
    </row>
    <row r="50" spans="2:21" ht="13.5">
      <c r="B50" s="100" t="s">
        <v>658</v>
      </c>
      <c r="C50" s="5"/>
      <c r="D50" s="5"/>
      <c r="E50" s="5"/>
      <c r="F50" s="5"/>
      <c r="G50" s="5"/>
      <c r="H50" s="5"/>
      <c r="I50" s="544"/>
      <c r="J50" s="5"/>
      <c r="K50" s="104"/>
      <c r="L50" s="5"/>
      <c r="M50" s="5"/>
      <c r="N50" s="544"/>
      <c r="O50" s="5"/>
      <c r="P50" s="5"/>
      <c r="Q50" s="5"/>
      <c r="R50" s="5"/>
      <c r="S50" s="544"/>
      <c r="T50" s="5"/>
      <c r="U50" s="5"/>
    </row>
    <row r="51" spans="2:12" ht="13.5">
      <c r="B51" s="100" t="s">
        <v>659</v>
      </c>
      <c r="L51" s="103"/>
    </row>
  </sheetData>
  <sheetProtection sheet="1" objects="1" scenarios="1"/>
  <mergeCells count="27">
    <mergeCell ref="B43:E43"/>
    <mergeCell ref="B26:E26"/>
    <mergeCell ref="F26:J26"/>
    <mergeCell ref="K26:O26"/>
    <mergeCell ref="O27:O29"/>
    <mergeCell ref="K9:O9"/>
    <mergeCell ref="B27:E29"/>
    <mergeCell ref="P9:T9"/>
    <mergeCell ref="B41:E41"/>
    <mergeCell ref="J27:J29"/>
    <mergeCell ref="O10:O12"/>
    <mergeCell ref="B10:E12"/>
    <mergeCell ref="B24:E24"/>
    <mergeCell ref="N27:N29"/>
    <mergeCell ref="S27:S29"/>
    <mergeCell ref="P26:T26"/>
    <mergeCell ref="T10:T12"/>
    <mergeCell ref="A4:E4"/>
    <mergeCell ref="C5:F5"/>
    <mergeCell ref="B9:E9"/>
    <mergeCell ref="F9:J9"/>
    <mergeCell ref="T27:T29"/>
    <mergeCell ref="I10:I12"/>
    <mergeCell ref="N10:N12"/>
    <mergeCell ref="S10:S12"/>
    <mergeCell ref="J10:J12"/>
    <mergeCell ref="I27:I29"/>
  </mergeCells>
  <dataValidations count="1">
    <dataValidation allowBlank="1" showInputMessage="1" showErrorMessage="1" imeMode="halfAlpha" sqref="V32 F30:T40 F13:T23"/>
  </dataValidations>
  <hyperlinks>
    <hyperlink ref="B2" location="'基本情報入力（使い方）'!A117"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6"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codeName="Sheet1"/>
  <dimension ref="A1:Q139"/>
  <sheetViews>
    <sheetView showGridLines="0" zoomScaleSheetLayoutView="100" zoomScalePageLayoutView="0" workbookViewId="0" topLeftCell="A1">
      <selection activeCell="A1" sqref="A1"/>
    </sheetView>
  </sheetViews>
  <sheetFormatPr defaultColWidth="9.140625" defaultRowHeight="15"/>
  <cols>
    <col min="1" max="2" width="3.421875" style="146" customWidth="1"/>
    <col min="3" max="7" width="13.00390625" style="146" customWidth="1"/>
    <col min="8" max="8" width="3.8515625" style="146" customWidth="1"/>
    <col min="9" max="9" width="14.421875" style="146" customWidth="1"/>
    <col min="10" max="10" width="13.7109375" style="146" customWidth="1"/>
    <col min="11" max="11" width="23.421875" style="146" customWidth="1"/>
    <col min="12" max="12" width="13.421875" style="146" customWidth="1"/>
    <col min="13" max="13" width="9.00390625" style="146" customWidth="1"/>
    <col min="14" max="14" width="17.8515625" style="146" customWidth="1"/>
    <col min="15" max="15" width="18.00390625" style="146" customWidth="1"/>
    <col min="16" max="16" width="9.421875" style="146" customWidth="1"/>
    <col min="17" max="16384" width="9.00390625" style="146" customWidth="1"/>
  </cols>
  <sheetData>
    <row r="1" spans="1:12" s="347" customFormat="1" ht="14.25">
      <c r="A1" s="347" t="s">
        <v>155</v>
      </c>
      <c r="L1" s="761"/>
    </row>
    <row r="2" s="347" customFormat="1" ht="14.25">
      <c r="L2" s="348"/>
    </row>
    <row r="3" spans="1:16" s="347" customFormat="1" ht="14.25">
      <c r="A3" s="349" t="s">
        <v>737</v>
      </c>
      <c r="M3" s="359"/>
      <c r="N3" s="359"/>
      <c r="O3" s="359"/>
      <c r="P3" s="359"/>
    </row>
    <row r="4" spans="3:16" s="347" customFormat="1" ht="15" customHeight="1">
      <c r="C4" s="347" t="s">
        <v>984</v>
      </c>
      <c r="J4" s="360"/>
      <c r="M4" s="359"/>
      <c r="N4" s="359"/>
      <c r="O4" s="359"/>
      <c r="P4" s="359"/>
    </row>
    <row r="5" spans="3:16" s="347" customFormat="1" ht="15" customHeight="1">
      <c r="C5" s="347" t="s">
        <v>983</v>
      </c>
      <c r="J5" s="360"/>
      <c r="M5" s="359"/>
      <c r="N5" s="359"/>
      <c r="O5" s="359"/>
      <c r="P5" s="359"/>
    </row>
    <row r="6" spans="3:16" s="347" customFormat="1" ht="15" customHeight="1">
      <c r="C6" s="349"/>
      <c r="M6" s="359"/>
      <c r="N6" s="359"/>
      <c r="O6" s="359"/>
      <c r="P6" s="359"/>
    </row>
    <row r="7" spans="1:16" s="347" customFormat="1" ht="15" customHeight="1">
      <c r="A7" s="349" t="s">
        <v>772</v>
      </c>
      <c r="C7" s="349"/>
      <c r="M7" s="359"/>
      <c r="N7" s="359"/>
      <c r="O7" s="359"/>
      <c r="P7" s="359"/>
    </row>
    <row r="8" spans="1:16" s="347" customFormat="1" ht="15" customHeight="1">
      <c r="A8" s="349"/>
      <c r="C8" s="349"/>
      <c r="M8" s="359"/>
      <c r="N8" s="359"/>
      <c r="O8" s="359"/>
      <c r="P8" s="359"/>
    </row>
    <row r="9" spans="1:16" s="347" customFormat="1" ht="15" customHeight="1">
      <c r="A9" s="347">
        <v>1</v>
      </c>
      <c r="B9" s="347" t="s">
        <v>736</v>
      </c>
      <c r="M9" s="359"/>
      <c r="N9" s="359"/>
      <c r="O9" s="359"/>
      <c r="P9" s="359"/>
    </row>
    <row r="10" spans="3:16" s="347" customFormat="1" ht="15" customHeight="1">
      <c r="C10" s="905" t="s">
        <v>945</v>
      </c>
      <c r="D10" s="906"/>
      <c r="E10" s="906"/>
      <c r="F10" s="906"/>
      <c r="G10" s="907"/>
      <c r="I10" s="36"/>
      <c r="M10" s="359"/>
      <c r="N10" s="359"/>
      <c r="O10" s="359"/>
      <c r="P10" s="359"/>
    </row>
    <row r="11" spans="6:16" s="347" customFormat="1" ht="15" customHeight="1">
      <c r="F11" s="350"/>
      <c r="G11" s="350"/>
      <c r="H11" s="351"/>
      <c r="I11" s="352"/>
      <c r="M11" s="359"/>
      <c r="N11" s="359"/>
      <c r="O11" s="359"/>
      <c r="P11" s="359"/>
    </row>
    <row r="12" spans="1:16" s="347" customFormat="1" ht="15" customHeight="1">
      <c r="A12" s="347">
        <v>2</v>
      </c>
      <c r="B12" s="147" t="s">
        <v>720</v>
      </c>
      <c r="D12" s="147"/>
      <c r="E12" s="147"/>
      <c r="F12" s="147"/>
      <c r="G12" s="147"/>
      <c r="H12" s="147"/>
      <c r="I12" s="147"/>
      <c r="M12" s="359"/>
      <c r="N12" s="359"/>
      <c r="O12" s="359"/>
      <c r="P12" s="359"/>
    </row>
    <row r="13" spans="3:16" s="347" customFormat="1" ht="15" customHeight="1">
      <c r="C13" s="359"/>
      <c r="D13" s="359"/>
      <c r="E13" s="352"/>
      <c r="F13" s="352"/>
      <c r="G13" s="352"/>
      <c r="H13" s="352"/>
      <c r="I13" s="352"/>
      <c r="M13" s="359"/>
      <c r="N13" s="359"/>
      <c r="O13" s="359"/>
      <c r="P13" s="359"/>
    </row>
    <row r="14" spans="3:16" s="347" customFormat="1" ht="15" customHeight="1">
      <c r="C14" s="353"/>
      <c r="D14" s="354"/>
      <c r="E14" s="353"/>
      <c r="F14" s="353"/>
      <c r="G14" s="353"/>
      <c r="H14" s="352"/>
      <c r="I14" s="352"/>
      <c r="M14" s="359"/>
      <c r="N14" s="359"/>
      <c r="O14" s="359"/>
      <c r="P14" s="359"/>
    </row>
    <row r="15" spans="1:16" s="347" customFormat="1" ht="15" customHeight="1">
      <c r="A15" s="359"/>
      <c r="B15" s="359"/>
      <c r="C15" s="766">
        <v>1</v>
      </c>
      <c r="D15" s="354"/>
      <c r="E15" s="354"/>
      <c r="F15" s="354"/>
      <c r="G15" s="381"/>
      <c r="H15" s="350"/>
      <c r="I15" s="352"/>
      <c r="M15" s="359"/>
      <c r="N15" s="359"/>
      <c r="O15" s="359"/>
      <c r="P15" s="359"/>
    </row>
    <row r="16" spans="3:16" s="347" customFormat="1" ht="15" customHeight="1">
      <c r="C16" s="354"/>
      <c r="D16" s="354"/>
      <c r="E16" s="354"/>
      <c r="F16" s="354"/>
      <c r="G16" s="354"/>
      <c r="H16" s="359"/>
      <c r="I16" s="359"/>
      <c r="J16" s="359"/>
      <c r="M16" s="359"/>
      <c r="N16" s="359"/>
      <c r="O16" s="359"/>
      <c r="P16" s="359"/>
    </row>
    <row r="17" spans="3:16" s="347" customFormat="1" ht="15" customHeight="1">
      <c r="C17" s="354"/>
      <c r="D17" s="354"/>
      <c r="E17" s="354"/>
      <c r="F17" s="354"/>
      <c r="G17" s="354"/>
      <c r="H17" s="359"/>
      <c r="I17" s="359"/>
      <c r="J17" s="359"/>
      <c r="M17" s="359"/>
      <c r="N17" s="359"/>
      <c r="O17" s="359"/>
      <c r="P17" s="359"/>
    </row>
    <row r="18" spans="3:16" s="347" customFormat="1" ht="15" customHeight="1">
      <c r="C18" s="354"/>
      <c r="D18" s="354"/>
      <c r="E18" s="354"/>
      <c r="F18" s="354"/>
      <c r="G18" s="354"/>
      <c r="H18" s="359"/>
      <c r="I18" s="359"/>
      <c r="J18" s="359"/>
      <c r="M18" s="359"/>
      <c r="N18" s="359"/>
      <c r="O18" s="359"/>
      <c r="P18" s="359"/>
    </row>
    <row r="19" spans="3:16" s="347" customFormat="1" ht="15" customHeight="1">
      <c r="C19" s="354"/>
      <c r="D19" s="354"/>
      <c r="E19" s="354"/>
      <c r="F19" s="354"/>
      <c r="G19" s="354"/>
      <c r="H19" s="359"/>
      <c r="I19" s="359"/>
      <c r="J19" s="359"/>
      <c r="M19" s="359"/>
      <c r="N19" s="359"/>
      <c r="O19" s="359"/>
      <c r="P19" s="359"/>
    </row>
    <row r="20" spans="3:16" s="347" customFormat="1" ht="15" customHeight="1">
      <c r="C20" s="354"/>
      <c r="D20" s="354"/>
      <c r="E20" s="354"/>
      <c r="F20" s="354"/>
      <c r="G20" s="354"/>
      <c r="H20" s="359"/>
      <c r="I20" s="359"/>
      <c r="J20" s="359"/>
      <c r="M20" s="359"/>
      <c r="N20" s="359"/>
      <c r="O20" s="359"/>
      <c r="P20" s="359"/>
    </row>
    <row r="21" spans="3:16" s="347" customFormat="1" ht="15" customHeight="1">
      <c r="C21" s="354"/>
      <c r="D21" s="354"/>
      <c r="E21" s="354"/>
      <c r="F21" s="354"/>
      <c r="G21" s="354"/>
      <c r="H21" s="359"/>
      <c r="I21" s="359"/>
      <c r="J21" s="359"/>
      <c r="M21" s="359"/>
      <c r="N21" s="359"/>
      <c r="O21" s="359"/>
      <c r="P21" s="359"/>
    </row>
    <row r="22" spans="3:16" s="347" customFormat="1" ht="15" customHeight="1">
      <c r="C22" s="354"/>
      <c r="D22" s="354"/>
      <c r="E22" s="354"/>
      <c r="F22" s="354"/>
      <c r="G22" s="354"/>
      <c r="H22" s="359"/>
      <c r="I22" s="359"/>
      <c r="J22" s="359"/>
      <c r="M22" s="359"/>
      <c r="N22" s="359"/>
      <c r="O22" s="359"/>
      <c r="P22" s="359"/>
    </row>
    <row r="23" spans="3:16" s="347" customFormat="1" ht="15" customHeight="1">
      <c r="C23" s="354"/>
      <c r="D23" s="354"/>
      <c r="E23" s="354"/>
      <c r="F23" s="354"/>
      <c r="G23" s="354"/>
      <c r="H23" s="359"/>
      <c r="I23" s="359"/>
      <c r="J23" s="359"/>
      <c r="M23" s="359"/>
      <c r="N23" s="359"/>
      <c r="O23" s="359"/>
      <c r="P23" s="359"/>
    </row>
    <row r="24" spans="3:10" s="347" customFormat="1" ht="15" customHeight="1">
      <c r="C24" s="354"/>
      <c r="D24" s="354"/>
      <c r="E24" s="354"/>
      <c r="F24" s="354"/>
      <c r="G24" s="354"/>
      <c r="H24" s="359"/>
      <c r="I24" s="359"/>
      <c r="J24" s="359"/>
    </row>
    <row r="25" spans="3:13" s="347" customFormat="1" ht="15" customHeight="1">
      <c r="C25" s="359"/>
      <c r="D25" s="359"/>
      <c r="F25" s="359"/>
      <c r="G25" s="359"/>
      <c r="H25" s="359"/>
      <c r="I25" s="359"/>
      <c r="J25" s="359"/>
      <c r="M25" s="355"/>
    </row>
    <row r="26" spans="3:9" s="347" customFormat="1" ht="18.75" customHeight="1">
      <c r="C26" s="149"/>
      <c r="D26" s="149"/>
      <c r="E26" s="149"/>
      <c r="F26" s="149"/>
      <c r="G26" s="350"/>
      <c r="H26" s="350"/>
      <c r="I26" s="352"/>
    </row>
    <row r="27" spans="1:15" s="347" customFormat="1" ht="14.25">
      <c r="A27" s="892">
        <v>3</v>
      </c>
      <c r="B27" s="149" t="s">
        <v>992</v>
      </c>
      <c r="D27" s="149"/>
      <c r="E27" s="149"/>
      <c r="O27" s="356"/>
    </row>
    <row r="28" spans="2:15" s="347" customFormat="1" ht="14.25">
      <c r="B28" s="149"/>
      <c r="D28" s="149"/>
      <c r="E28" s="149"/>
      <c r="O28" s="356"/>
    </row>
    <row r="29" spans="3:9" s="347" customFormat="1" ht="14.25">
      <c r="C29" s="913"/>
      <c r="D29" s="914"/>
      <c r="E29" s="914"/>
      <c r="F29" s="914"/>
      <c r="G29" s="915"/>
      <c r="H29" s="350"/>
      <c r="I29" s="36"/>
    </row>
    <row r="30" spans="3:9" s="347" customFormat="1" ht="14.25">
      <c r="C30" s="149"/>
      <c r="D30" s="149"/>
      <c r="E30" s="149"/>
      <c r="F30" s="149"/>
      <c r="G30" s="350"/>
      <c r="H30" s="350"/>
      <c r="I30" s="352"/>
    </row>
    <row r="31" spans="1:6" s="347" customFormat="1" ht="14.25">
      <c r="A31" s="892">
        <v>4</v>
      </c>
      <c r="B31" s="149" t="s">
        <v>993</v>
      </c>
      <c r="D31" s="149"/>
      <c r="E31" s="149"/>
      <c r="F31" s="149"/>
    </row>
    <row r="32" spans="2:6" s="347" customFormat="1" ht="14.25">
      <c r="B32" s="149"/>
      <c r="D32" s="149"/>
      <c r="E32" s="149"/>
      <c r="F32" s="149"/>
    </row>
    <row r="33" spans="3:9" s="347" customFormat="1" ht="14.25">
      <c r="C33" s="910"/>
      <c r="D33" s="911"/>
      <c r="E33" s="911"/>
      <c r="F33" s="911"/>
      <c r="G33" s="912"/>
      <c r="I33" s="36"/>
    </row>
    <row r="34" spans="3:9" s="347" customFormat="1" ht="14.25">
      <c r="C34" s="910"/>
      <c r="D34" s="911"/>
      <c r="E34" s="911"/>
      <c r="F34" s="911"/>
      <c r="G34" s="912"/>
      <c r="H34" s="350"/>
      <c r="I34" s="36"/>
    </row>
    <row r="35" spans="4:9" s="347" customFormat="1" ht="14.25">
      <c r="D35" s="149"/>
      <c r="E35" s="149"/>
      <c r="F35" s="149"/>
      <c r="G35" s="151"/>
      <c r="H35" s="350"/>
      <c r="I35" s="352"/>
    </row>
    <row r="36" spans="3:9" s="347" customFormat="1" ht="14.25">
      <c r="C36" s="149" t="s">
        <v>150</v>
      </c>
      <c r="D36" s="149"/>
      <c r="E36" s="149"/>
      <c r="F36" s="149"/>
      <c r="G36" s="151"/>
      <c r="H36" s="350"/>
      <c r="I36" s="352"/>
    </row>
    <row r="37" spans="3:9" s="347" customFormat="1" ht="14.25">
      <c r="C37" s="149"/>
      <c r="D37" s="149"/>
      <c r="E37" s="149"/>
      <c r="F37" s="149"/>
      <c r="G37" s="151"/>
      <c r="H37" s="350"/>
      <c r="I37" s="352"/>
    </row>
    <row r="38" spans="1:2" s="347" customFormat="1" ht="14.25">
      <c r="A38" s="347">
        <v>5</v>
      </c>
      <c r="B38" s="347" t="s">
        <v>794</v>
      </c>
    </row>
    <row r="39" s="347" customFormat="1" ht="15" customHeight="1">
      <c r="B39" s="347" t="s">
        <v>742</v>
      </c>
    </row>
    <row r="40" spans="2:5" s="347" customFormat="1" ht="14.25">
      <c r="B40" s="355" t="s">
        <v>994</v>
      </c>
      <c r="C40" s="355"/>
      <c r="D40" s="355"/>
      <c r="E40" s="355"/>
    </row>
    <row r="41" spans="2:4" s="347" customFormat="1" ht="14.25">
      <c r="B41" s="378"/>
      <c r="C41" s="379" t="s">
        <v>761</v>
      </c>
      <c r="D41" s="378"/>
    </row>
    <row r="42" spans="2:4" s="347" customFormat="1" ht="14.25">
      <c r="B42" s="378"/>
      <c r="C42" s="379" t="s">
        <v>762</v>
      </c>
      <c r="D42" s="378"/>
    </row>
    <row r="43" spans="2:4" s="347" customFormat="1" ht="14.25">
      <c r="B43" s="378"/>
      <c r="C43" s="379" t="s">
        <v>739</v>
      </c>
      <c r="D43" s="378"/>
    </row>
    <row r="44" spans="2:4" s="347" customFormat="1" ht="14.25">
      <c r="B44" s="378"/>
      <c r="C44" s="379" t="s">
        <v>740</v>
      </c>
      <c r="D44" s="378"/>
    </row>
    <row r="45" spans="2:4" s="347" customFormat="1" ht="14.25">
      <c r="B45" s="378"/>
      <c r="C45" s="379" t="s">
        <v>741</v>
      </c>
      <c r="D45" s="378"/>
    </row>
    <row r="46" spans="2:4" s="347" customFormat="1" ht="14.25">
      <c r="B46" s="378"/>
      <c r="C46" s="379" t="s">
        <v>128</v>
      </c>
      <c r="D46" s="379"/>
    </row>
    <row r="47" spans="2:4" s="347" customFormat="1" ht="14.25">
      <c r="B47" s="378"/>
      <c r="C47" s="379" t="s">
        <v>129</v>
      </c>
      <c r="D47" s="379"/>
    </row>
    <row r="48" spans="2:4" s="347" customFormat="1" ht="14.25">
      <c r="B48" s="378"/>
      <c r="C48" s="379" t="s">
        <v>130</v>
      </c>
      <c r="D48" s="379"/>
    </row>
    <row r="49" spans="2:4" s="347" customFormat="1" ht="14.25">
      <c r="B49" s="378"/>
      <c r="C49" s="379" t="s">
        <v>763</v>
      </c>
      <c r="D49" s="379"/>
    </row>
    <row r="50" spans="2:4" s="347" customFormat="1" ht="14.25">
      <c r="B50" s="378"/>
      <c r="C50" s="379" t="s">
        <v>131</v>
      </c>
      <c r="D50" s="379"/>
    </row>
    <row r="51" spans="2:4" s="347" customFormat="1" ht="14.25">
      <c r="B51" s="378"/>
      <c r="C51" s="379" t="s">
        <v>764</v>
      </c>
      <c r="D51" s="379"/>
    </row>
    <row r="52" s="347" customFormat="1" ht="14.25"/>
    <row r="53" spans="3:7" s="347" customFormat="1" ht="14.25">
      <c r="C53" s="347" t="s">
        <v>151</v>
      </c>
      <c r="G53" s="357"/>
    </row>
    <row r="54" s="347" customFormat="1" ht="14.25">
      <c r="C54" s="347" t="s">
        <v>721</v>
      </c>
    </row>
    <row r="55" s="347" customFormat="1" ht="14.25">
      <c r="C55" s="347" t="s">
        <v>795</v>
      </c>
    </row>
    <row r="56" s="347" customFormat="1" ht="14.25">
      <c r="C56" s="347" t="s">
        <v>152</v>
      </c>
    </row>
    <row r="57" s="347" customFormat="1" ht="14.25">
      <c r="C57" s="347" t="s">
        <v>722</v>
      </c>
    </row>
    <row r="58" s="347" customFormat="1" ht="14.25"/>
    <row r="59" spans="1:2" s="347" customFormat="1" ht="15" customHeight="1">
      <c r="A59" s="347">
        <v>6</v>
      </c>
      <c r="B59" s="347" t="s">
        <v>153</v>
      </c>
    </row>
    <row r="60" s="347" customFormat="1" ht="15" customHeight="1"/>
    <row r="61" s="347" customFormat="1" ht="15" customHeight="1">
      <c r="B61" s="147" t="s">
        <v>154</v>
      </c>
    </row>
    <row r="62" s="347" customFormat="1" ht="15" customHeight="1">
      <c r="B62" s="147" t="s">
        <v>114</v>
      </c>
    </row>
    <row r="63" s="347" customFormat="1" ht="15" customHeight="1"/>
    <row r="64" spans="2:4" s="347" customFormat="1" ht="15" customHeight="1">
      <c r="B64" s="147" t="s">
        <v>766</v>
      </c>
      <c r="D64" s="375"/>
    </row>
    <row r="65" s="347" customFormat="1" ht="15" customHeight="1"/>
    <row r="66" spans="2:11" s="347" customFormat="1" ht="15" customHeight="1">
      <c r="B66" s="380" t="s">
        <v>743</v>
      </c>
      <c r="K66" s="376"/>
    </row>
    <row r="67" spans="3:11" s="347" customFormat="1" ht="15" customHeight="1">
      <c r="C67" s="147" t="s">
        <v>650</v>
      </c>
      <c r="D67" s="147"/>
      <c r="K67" s="376"/>
    </row>
    <row r="68" spans="2:11" s="347" customFormat="1" ht="15" customHeight="1">
      <c r="B68" s="467"/>
      <c r="C68" s="468" t="s">
        <v>744</v>
      </c>
      <c r="D68" s="467"/>
      <c r="K68" s="376"/>
    </row>
    <row r="69" spans="3:11" s="347" customFormat="1" ht="15" customHeight="1">
      <c r="C69" s="375"/>
      <c r="K69" s="376"/>
    </row>
    <row r="70" spans="2:11" s="347" customFormat="1" ht="15" customHeight="1">
      <c r="B70" s="380" t="s">
        <v>746</v>
      </c>
      <c r="K70" s="376"/>
    </row>
    <row r="71" spans="2:11" s="347" customFormat="1" ht="15" customHeight="1">
      <c r="B71" s="467"/>
      <c r="C71" s="470" t="s">
        <v>745</v>
      </c>
      <c r="D71" s="467"/>
      <c r="K71" s="376"/>
    </row>
    <row r="72" spans="3:11" s="347" customFormat="1" ht="15" customHeight="1">
      <c r="C72" s="347" t="s">
        <v>648</v>
      </c>
      <c r="K72" s="376"/>
    </row>
    <row r="73" spans="3:11" s="347" customFormat="1" ht="15" customHeight="1">
      <c r="C73" s="347" t="s">
        <v>842</v>
      </c>
      <c r="K73" s="376"/>
    </row>
    <row r="74" s="347" customFormat="1" ht="15" customHeight="1">
      <c r="K74" s="376"/>
    </row>
    <row r="75" spans="2:11" s="347" customFormat="1" ht="15" customHeight="1">
      <c r="B75" s="467"/>
      <c r="C75" s="468" t="s">
        <v>747</v>
      </c>
      <c r="D75" s="467"/>
      <c r="K75" s="376"/>
    </row>
    <row r="76" s="347" customFormat="1" ht="15" customHeight="1">
      <c r="C76" s="347" t="s">
        <v>841</v>
      </c>
    </row>
    <row r="77" s="347" customFormat="1" ht="15" customHeight="1">
      <c r="C77" s="347" t="s">
        <v>748</v>
      </c>
    </row>
    <row r="78" s="347" customFormat="1" ht="15" customHeight="1"/>
    <row r="79" s="347" customFormat="1" ht="15" customHeight="1">
      <c r="B79" s="380" t="s">
        <v>749</v>
      </c>
    </row>
    <row r="80" spans="2:4" s="347" customFormat="1" ht="15" customHeight="1">
      <c r="B80" s="467"/>
      <c r="C80" s="470" t="s">
        <v>750</v>
      </c>
      <c r="D80" s="467"/>
    </row>
    <row r="81" s="347" customFormat="1" ht="15" customHeight="1">
      <c r="C81" s="349" t="s">
        <v>770</v>
      </c>
    </row>
    <row r="82" s="347" customFormat="1" ht="15" customHeight="1">
      <c r="C82" s="349" t="s">
        <v>651</v>
      </c>
    </row>
    <row r="83" spans="3:9" s="347" customFormat="1" ht="15" customHeight="1">
      <c r="C83" s="349" t="s">
        <v>649</v>
      </c>
      <c r="G83" s="361"/>
      <c r="H83" s="361"/>
      <c r="I83" s="361"/>
    </row>
    <row r="84" spans="3:9" s="347" customFormat="1" ht="15" customHeight="1">
      <c r="C84" s="349"/>
      <c r="G84" s="362"/>
      <c r="H84" s="361"/>
      <c r="I84" s="361"/>
    </row>
    <row r="85" spans="3:11" s="347" customFormat="1" ht="15" customHeight="1">
      <c r="C85" s="349" t="s">
        <v>771</v>
      </c>
      <c r="G85" s="362"/>
      <c r="H85" s="361"/>
      <c r="I85" s="361"/>
      <c r="K85" s="147"/>
    </row>
    <row r="86" spans="3:11" s="347" customFormat="1" ht="15" customHeight="1">
      <c r="C86" s="349" t="s">
        <v>723</v>
      </c>
      <c r="G86" s="362"/>
      <c r="H86" s="361"/>
      <c r="I86" s="361"/>
      <c r="K86" s="147"/>
    </row>
    <row r="87" spans="3:11" s="347" customFormat="1" ht="15" customHeight="1">
      <c r="C87" s="349" t="s">
        <v>724</v>
      </c>
      <c r="G87" s="362"/>
      <c r="H87" s="361"/>
      <c r="I87" s="361"/>
      <c r="K87" s="147"/>
    </row>
    <row r="88" spans="7:11" s="347" customFormat="1" ht="15" customHeight="1">
      <c r="G88" s="362"/>
      <c r="H88" s="361"/>
      <c r="I88" s="361"/>
      <c r="K88" s="147"/>
    </row>
    <row r="89" spans="3:12" s="347" customFormat="1" ht="15" customHeight="1" thickBot="1">
      <c r="C89" s="347" t="s">
        <v>735</v>
      </c>
      <c r="H89" s="362"/>
      <c r="I89" s="361"/>
      <c r="J89" s="361"/>
      <c r="L89" s="147"/>
    </row>
    <row r="90" spans="3:12" s="347" customFormat="1" ht="15" customHeight="1" thickBot="1">
      <c r="C90" s="916" t="s">
        <v>79</v>
      </c>
      <c r="D90" s="917"/>
      <c r="E90" s="908" t="s">
        <v>707</v>
      </c>
      <c r="F90" s="909"/>
      <c r="I90" s="361"/>
      <c r="J90" s="361"/>
      <c r="L90" s="147"/>
    </row>
    <row r="91" spans="3:12" s="347" customFormat="1" ht="15" customHeight="1">
      <c r="C91" s="925" t="s">
        <v>119</v>
      </c>
      <c r="D91" s="926"/>
      <c r="E91" s="364" t="s">
        <v>82</v>
      </c>
      <c r="F91" s="365">
        <v>49.85</v>
      </c>
      <c r="G91" s="358"/>
      <c r="H91" s="347" t="s">
        <v>717</v>
      </c>
      <c r="L91" s="147"/>
    </row>
    <row r="92" spans="3:13" s="347" customFormat="1" ht="15" customHeight="1">
      <c r="C92" s="919" t="s">
        <v>81</v>
      </c>
      <c r="D92" s="920"/>
      <c r="E92" s="364" t="s">
        <v>82</v>
      </c>
      <c r="F92" s="366">
        <v>0</v>
      </c>
      <c r="G92" s="347" t="s">
        <v>716</v>
      </c>
      <c r="L92" s="147"/>
      <c r="M92" s="376"/>
    </row>
    <row r="93" spans="3:13" s="347" customFormat="1" ht="15" customHeight="1">
      <c r="C93" s="919" t="s">
        <v>142</v>
      </c>
      <c r="D93" s="920"/>
      <c r="E93" s="364" t="s">
        <v>82</v>
      </c>
      <c r="F93" s="367">
        <v>8.6</v>
      </c>
      <c r="H93" s="347" t="s">
        <v>708</v>
      </c>
      <c r="L93" s="147"/>
      <c r="M93" s="376"/>
    </row>
    <row r="94" spans="3:13" s="347" customFormat="1" ht="15" customHeight="1">
      <c r="C94" s="919" t="s">
        <v>727</v>
      </c>
      <c r="D94" s="920"/>
      <c r="E94" s="364" t="s">
        <v>82</v>
      </c>
      <c r="F94" s="367">
        <v>7.9</v>
      </c>
      <c r="M94" s="376"/>
    </row>
    <row r="95" spans="3:8" s="347" customFormat="1" ht="15" customHeight="1">
      <c r="C95" s="919" t="s">
        <v>654</v>
      </c>
      <c r="D95" s="920"/>
      <c r="E95" s="364" t="s">
        <v>82</v>
      </c>
      <c r="F95" s="366">
        <v>85.6</v>
      </c>
      <c r="H95" s="347" t="s">
        <v>709</v>
      </c>
    </row>
    <row r="96" spans="3:12" s="347" customFormat="1" ht="15" customHeight="1">
      <c r="C96" s="919" t="s">
        <v>655</v>
      </c>
      <c r="D96" s="920"/>
      <c r="E96" s="364" t="s">
        <v>82</v>
      </c>
      <c r="F96" s="366">
        <v>87.37</v>
      </c>
      <c r="L96" s="368"/>
    </row>
    <row r="97" spans="3:12" s="347" customFormat="1" ht="15" customHeight="1">
      <c r="C97" s="921" t="s">
        <v>702</v>
      </c>
      <c r="D97" s="922"/>
      <c r="E97" s="364" t="s">
        <v>82</v>
      </c>
      <c r="F97" s="367">
        <v>1.5</v>
      </c>
      <c r="H97" s="347" t="s">
        <v>715</v>
      </c>
      <c r="L97" s="369"/>
    </row>
    <row r="98" spans="3:17" s="347" customFormat="1" ht="15" customHeight="1">
      <c r="C98" s="927" t="s">
        <v>639</v>
      </c>
      <c r="D98" s="928"/>
      <c r="E98" s="364" t="s">
        <v>82</v>
      </c>
      <c r="F98" s="366">
        <v>0</v>
      </c>
      <c r="G98" s="376"/>
      <c r="H98" s="347" t="s">
        <v>856</v>
      </c>
      <c r="Q98" s="377"/>
    </row>
    <row r="99" spans="3:17" s="347" customFormat="1" ht="15" customHeight="1">
      <c r="C99" s="919" t="s">
        <v>639</v>
      </c>
      <c r="D99" s="920"/>
      <c r="E99" s="364" t="s">
        <v>82</v>
      </c>
      <c r="F99" s="366">
        <v>0</v>
      </c>
      <c r="G99" s="347" t="s">
        <v>716</v>
      </c>
      <c r="Q99" s="377"/>
    </row>
    <row r="100" spans="3:10" s="347" customFormat="1" ht="15" customHeight="1">
      <c r="C100" s="919" t="s">
        <v>638</v>
      </c>
      <c r="D100" s="920"/>
      <c r="E100" s="364" t="s">
        <v>82</v>
      </c>
      <c r="F100" s="366">
        <v>0</v>
      </c>
      <c r="G100" s="65"/>
      <c r="H100" s="347" t="s">
        <v>738</v>
      </c>
      <c r="I100" s="376"/>
      <c r="J100" s="376"/>
    </row>
    <row r="101" spans="3:13" s="347" customFormat="1" ht="15" customHeight="1">
      <c r="C101" s="919" t="s">
        <v>638</v>
      </c>
      <c r="D101" s="920"/>
      <c r="E101" s="364" t="s">
        <v>82</v>
      </c>
      <c r="F101" s="367">
        <v>0</v>
      </c>
      <c r="G101" s="347" t="s">
        <v>716</v>
      </c>
      <c r="H101" s="347" t="s">
        <v>710</v>
      </c>
      <c r="I101" s="376"/>
      <c r="J101" s="376"/>
      <c r="M101" s="147"/>
    </row>
    <row r="102" spans="3:13" s="347" customFormat="1" ht="15" customHeight="1">
      <c r="C102" s="919" t="s">
        <v>83</v>
      </c>
      <c r="D102" s="920"/>
      <c r="E102" s="364" t="s">
        <v>82</v>
      </c>
      <c r="F102" s="762">
        <v>8.5</v>
      </c>
      <c r="G102" s="65"/>
      <c r="I102" s="376"/>
      <c r="M102" s="352"/>
    </row>
    <row r="103" spans="3:13" s="347" customFormat="1" ht="15" customHeight="1">
      <c r="C103" s="919" t="s">
        <v>84</v>
      </c>
      <c r="D103" s="920"/>
      <c r="E103" s="364" t="s">
        <v>82</v>
      </c>
      <c r="F103" s="762">
        <v>5</v>
      </c>
      <c r="M103" s="352"/>
    </row>
    <row r="104" spans="3:13" s="347" customFormat="1" ht="15" customHeight="1" thickBot="1">
      <c r="C104" s="923" t="s">
        <v>84</v>
      </c>
      <c r="D104" s="924"/>
      <c r="E104" s="364" t="s">
        <v>82</v>
      </c>
      <c r="F104" s="763">
        <v>0</v>
      </c>
      <c r="G104" s="347" t="s">
        <v>716</v>
      </c>
      <c r="H104" s="347" t="s">
        <v>711</v>
      </c>
      <c r="M104" s="368"/>
    </row>
    <row r="105" spans="3:13" s="347" customFormat="1" ht="15" customHeight="1" thickBot="1">
      <c r="C105" s="916" t="s">
        <v>85</v>
      </c>
      <c r="D105" s="917"/>
      <c r="E105" s="363"/>
      <c r="F105" s="370"/>
      <c r="H105" s="149" t="s">
        <v>712</v>
      </c>
      <c r="M105" s="368"/>
    </row>
    <row r="106" spans="6:11" s="347" customFormat="1" ht="15" customHeight="1">
      <c r="F106" s="371"/>
      <c r="H106" s="347" t="s">
        <v>713</v>
      </c>
      <c r="K106" s="368"/>
    </row>
    <row r="107" spans="3:11" s="347" customFormat="1" ht="15" customHeight="1">
      <c r="C107" s="918"/>
      <c r="D107" s="918"/>
      <c r="E107" s="373"/>
      <c r="F107" s="374"/>
      <c r="G107" s="361"/>
      <c r="K107" s="368"/>
    </row>
    <row r="108" spans="3:11" s="347" customFormat="1" ht="15" customHeight="1">
      <c r="C108" s="918"/>
      <c r="D108" s="918"/>
      <c r="E108" s="373"/>
      <c r="F108" s="382"/>
      <c r="G108" s="361"/>
      <c r="H108" s="347" t="s">
        <v>714</v>
      </c>
      <c r="K108" s="368"/>
    </row>
    <row r="109" spans="3:7" s="347" customFormat="1" ht="15" customHeight="1">
      <c r="C109" s="765"/>
      <c r="D109" s="765"/>
      <c r="E109" s="373"/>
      <c r="F109" s="382"/>
      <c r="G109" s="361"/>
    </row>
    <row r="110" spans="3:11" s="347" customFormat="1" ht="15" customHeight="1">
      <c r="C110" s="765"/>
      <c r="D110" s="765"/>
      <c r="E110" s="373"/>
      <c r="F110" s="382"/>
      <c r="G110" s="361"/>
      <c r="K110" s="368"/>
    </row>
    <row r="111" spans="3:10" s="347" customFormat="1" ht="15" customHeight="1">
      <c r="C111" s="347" t="s">
        <v>705</v>
      </c>
      <c r="J111" s="368"/>
    </row>
    <row r="112" spans="3:10" s="347" customFormat="1" ht="15" customHeight="1">
      <c r="C112" s="347" t="s">
        <v>706</v>
      </c>
      <c r="J112" s="368"/>
    </row>
    <row r="113" s="347" customFormat="1" ht="15" customHeight="1"/>
    <row r="114" spans="3:11" s="347" customFormat="1" ht="15" customHeight="1">
      <c r="C114" s="347" t="s">
        <v>725</v>
      </c>
      <c r="G114" s="362"/>
      <c r="H114" s="361"/>
      <c r="I114" s="361"/>
      <c r="K114" s="147"/>
    </row>
    <row r="115" spans="7:11" s="347" customFormat="1" ht="15" customHeight="1">
      <c r="G115" s="362"/>
      <c r="H115" s="361"/>
      <c r="I115" s="361"/>
      <c r="K115" s="147"/>
    </row>
    <row r="116" spans="2:11" s="347" customFormat="1" ht="15" customHeight="1">
      <c r="B116" s="380" t="s">
        <v>765</v>
      </c>
      <c r="K116" s="147"/>
    </row>
    <row r="117" spans="2:11" s="347" customFormat="1" ht="15" customHeight="1">
      <c r="B117" s="467"/>
      <c r="C117" s="470" t="s">
        <v>917</v>
      </c>
      <c r="D117" s="467"/>
      <c r="E117" s="467"/>
      <c r="K117" s="147"/>
    </row>
    <row r="118" spans="2:11" s="347" customFormat="1" ht="15" customHeight="1">
      <c r="B118" s="467"/>
      <c r="C118" s="470" t="s">
        <v>916</v>
      </c>
      <c r="D118" s="467"/>
      <c r="E118" s="467"/>
      <c r="G118" s="372"/>
      <c r="H118" s="373"/>
      <c r="I118" s="374"/>
      <c r="K118" s="147"/>
    </row>
    <row r="119" spans="6:11" s="347" customFormat="1" ht="15" customHeight="1">
      <c r="F119" s="362"/>
      <c r="G119" s="361"/>
      <c r="H119" s="361"/>
      <c r="I119" s="374"/>
      <c r="K119" s="147"/>
    </row>
    <row r="120" spans="3:11" s="347" customFormat="1" ht="15" customHeight="1">
      <c r="C120" s="347" t="s">
        <v>843</v>
      </c>
      <c r="E120" s="372"/>
      <c r="F120" s="373"/>
      <c r="H120" s="374"/>
      <c r="I120" s="374"/>
      <c r="K120" s="147"/>
    </row>
    <row r="121" spans="3:11" s="347" customFormat="1" ht="15" customHeight="1">
      <c r="C121" s="347" t="s">
        <v>844</v>
      </c>
      <c r="D121" s="372"/>
      <c r="E121" s="373"/>
      <c r="F121" s="374"/>
      <c r="H121" s="374"/>
      <c r="K121" s="147"/>
    </row>
    <row r="122" spans="4:11" s="347" customFormat="1" ht="15" customHeight="1">
      <c r="D122" s="372" t="s">
        <v>845</v>
      </c>
      <c r="E122" s="373"/>
      <c r="F122" s="374"/>
      <c r="H122" s="374"/>
      <c r="K122" s="147"/>
    </row>
    <row r="123" spans="3:11" s="347" customFormat="1" ht="15" customHeight="1">
      <c r="C123" s="347" t="s">
        <v>846</v>
      </c>
      <c r="D123" s="372"/>
      <c r="E123" s="373"/>
      <c r="F123" s="374"/>
      <c r="H123" s="374"/>
      <c r="K123" s="147"/>
    </row>
    <row r="124" spans="3:11" s="347" customFormat="1" ht="15" customHeight="1">
      <c r="C124" s="347" t="s">
        <v>847</v>
      </c>
      <c r="E124" s="372"/>
      <c r="F124" s="373"/>
      <c r="H124" s="374"/>
      <c r="K124" s="147"/>
    </row>
    <row r="125" spans="5:11" s="347" customFormat="1" ht="15" customHeight="1">
      <c r="E125" s="352"/>
      <c r="G125" s="372"/>
      <c r="H125" s="373"/>
      <c r="I125" s="374"/>
      <c r="K125" s="147"/>
    </row>
    <row r="126" spans="3:11" s="347" customFormat="1" ht="15" customHeight="1">
      <c r="C126" s="347" t="s">
        <v>726</v>
      </c>
      <c r="G126" s="372"/>
      <c r="H126" s="361"/>
      <c r="I126" s="361"/>
      <c r="K126" s="147"/>
    </row>
    <row r="127" s="359" customFormat="1" ht="14.25"/>
    <row r="128" s="359" customFormat="1" ht="14.25"/>
    <row r="129" s="359" customFormat="1" ht="14.25"/>
    <row r="130" spans="3:10" s="100" customFormat="1" ht="18" customHeight="1">
      <c r="C130" s="150" t="s">
        <v>980</v>
      </c>
      <c r="D130" s="326"/>
      <c r="E130" s="191"/>
      <c r="F130" s="191"/>
      <c r="G130" s="326"/>
      <c r="H130" s="182"/>
      <c r="J130" s="192"/>
    </row>
    <row r="131" spans="2:11" s="347" customFormat="1" ht="15" customHeight="1">
      <c r="B131" s="469"/>
      <c r="C131" s="475" t="s">
        <v>981</v>
      </c>
      <c r="D131" s="469"/>
      <c r="E131" s="585"/>
      <c r="F131" s="9"/>
      <c r="G131" s="9"/>
      <c r="K131" s="147"/>
    </row>
    <row r="132" ht="18" customHeight="1">
      <c r="C132" t="s">
        <v>986</v>
      </c>
    </row>
    <row r="133" ht="18" customHeight="1">
      <c r="C133" t="s">
        <v>995</v>
      </c>
    </row>
    <row r="134" ht="18" customHeight="1">
      <c r="C134" t="s">
        <v>987</v>
      </c>
    </row>
    <row r="135" ht="18" customHeight="1">
      <c r="C135" t="s">
        <v>989</v>
      </c>
    </row>
    <row r="136" s="100" customFormat="1" ht="18" customHeight="1">
      <c r="C136" s="100" t="s">
        <v>988</v>
      </c>
    </row>
    <row r="137" ht="18" customHeight="1">
      <c r="C137" t="s">
        <v>990</v>
      </c>
    </row>
    <row r="138" ht="18" customHeight="1">
      <c r="C138" t="s">
        <v>857</v>
      </c>
    </row>
    <row r="139" spans="2:5" s="8" customFormat="1" ht="18" customHeight="1">
      <c r="B139" s="100"/>
      <c r="C139" s="891"/>
      <c r="D139" s="891"/>
      <c r="E139" s="894"/>
    </row>
    <row r="140" s="100" customFormat="1" ht="18" customHeight="1"/>
    <row r="141" s="100" customFormat="1" ht="18" customHeight="1"/>
    <row r="142" s="100" customFormat="1" ht="18" customHeight="1"/>
    <row r="143" s="100" customFormat="1" ht="18" customHeight="1"/>
    <row r="144" s="100" customFormat="1" ht="18" customHeight="1"/>
    <row r="145" s="100" customFormat="1" ht="18" customHeight="1"/>
    <row r="146" s="100" customFormat="1" ht="18" customHeight="1"/>
    <row r="147" s="100" customFormat="1" ht="18" customHeight="1"/>
    <row r="148" s="100" customFormat="1" ht="18" customHeight="1"/>
    <row r="149" s="100" customFormat="1" ht="18" customHeight="1"/>
    <row r="150" s="100" customFormat="1" ht="18" customHeight="1"/>
    <row r="151" s="100" customFormat="1" ht="18" customHeight="1"/>
    <row r="152" s="100" customFormat="1" ht="18" customHeight="1"/>
    <row r="153" s="100" customFormat="1" ht="18" customHeight="1"/>
    <row r="154" s="100" customFormat="1" ht="13.5"/>
    <row r="155" s="100" customFormat="1" ht="18" customHeight="1"/>
    <row r="156" s="100" customFormat="1" ht="18" customHeight="1"/>
    <row r="157" s="100" customFormat="1" ht="18" customHeight="1"/>
    <row r="158" s="100" customFormat="1" ht="18" customHeight="1"/>
    <row r="159" s="100" customFormat="1" ht="18" customHeight="1"/>
    <row r="160" s="100" customFormat="1" ht="18" customHeight="1"/>
    <row r="161" s="100" customFormat="1" ht="18" customHeight="1"/>
    <row r="162" s="100" customFormat="1" ht="18" customHeight="1"/>
    <row r="163" s="100" customFormat="1" ht="18" customHeight="1"/>
    <row r="164" s="100" customFormat="1" ht="18" customHeight="1"/>
    <row r="165" ht="18" customHeight="1"/>
  </sheetData>
  <sheetProtection sheet="1" objects="1" scenarios="1"/>
  <mergeCells count="23">
    <mergeCell ref="C94:D94"/>
    <mergeCell ref="C93:D93"/>
    <mergeCell ref="C101:D101"/>
    <mergeCell ref="C100:D100"/>
    <mergeCell ref="C92:D92"/>
    <mergeCell ref="C91:D91"/>
    <mergeCell ref="C99:D99"/>
    <mergeCell ref="C98:D98"/>
    <mergeCell ref="C108:D108"/>
    <mergeCell ref="C96:D96"/>
    <mergeCell ref="C95:D95"/>
    <mergeCell ref="C107:D107"/>
    <mergeCell ref="C97:D97"/>
    <mergeCell ref="C105:D105"/>
    <mergeCell ref="C104:D104"/>
    <mergeCell ref="C103:D103"/>
    <mergeCell ref="C102:D102"/>
    <mergeCell ref="C10:G10"/>
    <mergeCell ref="E90:F90"/>
    <mergeCell ref="C34:G34"/>
    <mergeCell ref="C33:G33"/>
    <mergeCell ref="C29:G29"/>
    <mergeCell ref="C90:D90"/>
  </mergeCells>
  <hyperlinks>
    <hyperlink ref="C43" location="原材料費!A1" display="　　原材料費"/>
    <hyperlink ref="C44" location="技術導入費!A1" display="　　技術導入費"/>
    <hyperlink ref="C45" location="外注加工費!A1" display="　　外注加工費"/>
    <hyperlink ref="C46" location="委託費!A1" display="　　委託費"/>
    <hyperlink ref="C47" location="知的財産権等関連経費!A1" display="知的財産関連経費"/>
    <hyperlink ref="C48" location="運搬費!A1" display="運搬費"/>
    <hyperlink ref="C49" location="専門家経費!A1" display="専門家経費"/>
    <hyperlink ref="C51" location="クラウド利用費!A1" display="クラウド利用費"/>
    <hyperlink ref="C68" location="対象者一覧表!A1" display="対象者一覧表"/>
    <hyperlink ref="C71" location="'総労働時間算定表(1)'!A1" display="総労働時間算定表(1)"/>
    <hyperlink ref="C75" location="'総労働時間算定表(2)'!A1" display="総労働時間算定表(2)は予備"/>
    <hyperlink ref="C80" location="'賃金台帳(1)'!A1" display="賃金台帳"/>
    <hyperlink ref="C41" location="'機械装置費（50万円以上）'!A1" display="機械装置費（50万円以上）"/>
    <hyperlink ref="C42" location="'機械装置費（50万円未満）'!A1" display="機械装置費（50万円未満）"/>
    <hyperlink ref="C50" location="雑役務費!A1" display="雑役務費"/>
    <hyperlink ref="C117" location="'直接人件費明細書(1)'!A1" display="直接人件費明細書（1）"/>
    <hyperlink ref="C118" location="'直接人件費明細書(2)'!A1" display="直接人件費明細書（2）"/>
    <hyperlink ref="C131" location="'様式3-1別紙1　新旧対比表'!A1" display="様式第３－１別紙１　新旧対比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rowBreaks count="1" manualBreakCount="1">
    <brk id="114" max="255" man="1"/>
  </rowBreaks>
  <drawing r:id="rId2"/>
  <legacyDrawing r:id="rId1"/>
</worksheet>
</file>

<file path=xl/worksheets/sheet20.xml><?xml version="1.0" encoding="utf-8"?>
<worksheet xmlns="http://schemas.openxmlformats.org/spreadsheetml/2006/main" xmlns:r="http://schemas.openxmlformats.org/officeDocument/2006/relationships">
  <sheetPr codeName="Sheet16">
    <tabColor rgb="FFFFFF00"/>
    <pageSetUpPr fitToPage="1"/>
  </sheetPr>
  <dimension ref="A1:V52"/>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40" customWidth="1"/>
    <col min="10" max="13" width="16.28125" style="100" customWidth="1"/>
    <col min="14" max="14" width="16.28125" style="540" customWidth="1"/>
    <col min="15" max="18" width="16.28125" style="100" customWidth="1"/>
    <col min="19" max="19" width="16.28125" style="540" customWidth="1"/>
    <col min="20" max="20" width="16.28125" style="100" customWidth="1"/>
    <col min="21" max="21" width="9.00390625" style="100" customWidth="1"/>
    <col min="22" max="22" width="10.28125" style="100" bestFit="1" customWidth="1"/>
    <col min="23" max="16384" width="9.00390625" style="100" customWidth="1"/>
  </cols>
  <sheetData>
    <row r="1" spans="1:18" ht="13.5">
      <c r="A1" s="3"/>
      <c r="E1" s="4"/>
      <c r="F1" s="7"/>
      <c r="G1" s="8"/>
      <c r="H1" s="13"/>
      <c r="I1" s="482"/>
      <c r="J1" s="8"/>
      <c r="K1" s="8"/>
      <c r="L1" s="8"/>
      <c r="M1" s="8"/>
      <c r="N1" s="203"/>
      <c r="O1" s="3"/>
      <c r="P1" s="3"/>
      <c r="Q1" s="2"/>
      <c r="R1" s="2"/>
    </row>
    <row r="2" spans="1:18" ht="13.5">
      <c r="A2" s="3"/>
      <c r="B2" s="767" t="s">
        <v>851</v>
      </c>
      <c r="E2" s="4"/>
      <c r="F2" s="7"/>
      <c r="G2" s="8"/>
      <c r="H2" s="13"/>
      <c r="I2" s="482"/>
      <c r="J2" s="8"/>
      <c r="K2" s="8"/>
      <c r="L2" s="8"/>
      <c r="M2" s="8"/>
      <c r="N2" s="203"/>
      <c r="O2" s="3"/>
      <c r="P2" s="3"/>
      <c r="Q2" s="2"/>
      <c r="R2" s="2"/>
    </row>
    <row r="3" spans="1:18" ht="13.5">
      <c r="A3" s="3"/>
      <c r="E3" s="4"/>
      <c r="F3" s="7"/>
      <c r="G3" s="8"/>
      <c r="H3" s="13"/>
      <c r="I3" s="482"/>
      <c r="J3" s="8"/>
      <c r="K3" s="8"/>
      <c r="L3" s="8"/>
      <c r="M3" s="8"/>
      <c r="N3" s="203"/>
      <c r="O3" s="3"/>
      <c r="P3" s="3"/>
      <c r="Q3" s="2"/>
      <c r="R3" s="2"/>
    </row>
    <row r="4" spans="1:6" ht="17.25">
      <c r="A4" s="1080"/>
      <c r="B4" s="1080"/>
      <c r="C4" s="1080"/>
      <c r="D4" s="1080"/>
      <c r="E4" s="1080"/>
      <c r="F4" s="47"/>
    </row>
    <row r="5" spans="1:20" ht="17.25">
      <c r="A5" s="127"/>
      <c r="B5" s="128" t="s">
        <v>148</v>
      </c>
      <c r="C5" s="1081" t="s">
        <v>31</v>
      </c>
      <c r="D5" s="1081"/>
      <c r="E5" s="1081"/>
      <c r="F5" s="1081"/>
      <c r="G5" s="6"/>
      <c r="H5" s="6"/>
      <c r="J5" s="6"/>
      <c r="K5" s="6"/>
      <c r="L5" s="6"/>
      <c r="M5" s="6"/>
      <c r="O5" s="6"/>
      <c r="P5" s="6"/>
      <c r="Q5" s="6"/>
      <c r="R5" s="6"/>
      <c r="T5" s="6"/>
    </row>
    <row r="6" spans="1:20" ht="17.25">
      <c r="A6" s="6"/>
      <c r="B6" s="26"/>
      <c r="C6" s="26"/>
      <c r="D6" s="26"/>
      <c r="E6" s="26"/>
      <c r="F6" s="6"/>
      <c r="G6" s="6"/>
      <c r="H6" s="6"/>
      <c r="J6" s="6"/>
      <c r="K6" s="6"/>
      <c r="L6" s="6"/>
      <c r="M6" s="6"/>
      <c r="O6" s="6"/>
      <c r="P6" s="6"/>
      <c r="Q6" s="6"/>
      <c r="R6" s="127"/>
      <c r="S6" s="547"/>
      <c r="T6" s="127" t="s">
        <v>36</v>
      </c>
    </row>
    <row r="7" spans="1:22" ht="17.25">
      <c r="A7" s="6"/>
      <c r="B7" s="26" t="s">
        <v>1</v>
      </c>
      <c r="C7" s="26"/>
      <c r="D7" s="26"/>
      <c r="E7" s="26"/>
      <c r="F7" s="6"/>
      <c r="G7" s="6"/>
      <c r="H7" s="6"/>
      <c r="J7" s="6"/>
      <c r="K7" s="6"/>
      <c r="L7" s="6"/>
      <c r="N7" s="545"/>
      <c r="O7" s="27"/>
      <c r="P7" s="154"/>
      <c r="Q7" s="129" t="s">
        <v>106</v>
      </c>
      <c r="R7" s="180" t="str">
        <f>IF('基本情報入力（使い方）'!$C$10="","",'基本情報入力（使い方）'!$C$10)</f>
        <v>Ｂ金属株式会社</v>
      </c>
      <c r="T7" s="27"/>
      <c r="V7" s="2"/>
    </row>
    <row r="8" spans="1:22" ht="14.25" thickBot="1">
      <c r="A8" s="6"/>
      <c r="B8" s="26" t="s">
        <v>1</v>
      </c>
      <c r="C8" s="26"/>
      <c r="D8" s="26"/>
      <c r="E8" s="26"/>
      <c r="F8" s="6"/>
      <c r="G8" s="6"/>
      <c r="H8" s="6"/>
      <c r="J8" s="6"/>
      <c r="K8" s="6"/>
      <c r="L8" s="6"/>
      <c r="M8" s="6"/>
      <c r="O8" s="6"/>
      <c r="P8" s="6"/>
      <c r="Q8" s="6"/>
      <c r="R8" s="6"/>
      <c r="T8" s="6"/>
      <c r="V8" s="2"/>
    </row>
    <row r="9" spans="1:22" ht="35.25" customHeight="1" thickBot="1">
      <c r="A9" s="6"/>
      <c r="B9" s="1082" t="s">
        <v>2</v>
      </c>
      <c r="C9" s="1083"/>
      <c r="D9" s="1083"/>
      <c r="E9" s="1083"/>
      <c r="F9" s="1114" t="str">
        <f>'対象者一覧表'!C33</f>
        <v>後藤　午太郎</v>
      </c>
      <c r="G9" s="1086"/>
      <c r="H9" s="1086"/>
      <c r="I9" s="1086"/>
      <c r="J9" s="1087"/>
      <c r="K9" s="1115" t="str">
        <f>'対象者一覧表'!C34</f>
        <v>太田　未来</v>
      </c>
      <c r="L9" s="1116"/>
      <c r="M9" s="1116"/>
      <c r="N9" s="1116"/>
      <c r="O9" s="1117"/>
      <c r="P9" s="1115" t="str">
        <f>'対象者一覧表'!C35</f>
        <v>原田　申也</v>
      </c>
      <c r="Q9" s="1116"/>
      <c r="R9" s="1116"/>
      <c r="S9" s="1116"/>
      <c r="T9" s="1118"/>
      <c r="V9" s="28"/>
    </row>
    <row r="10" spans="1:22" ht="33.75" customHeight="1">
      <c r="A10" s="6"/>
      <c r="B10" s="1097" t="s">
        <v>687</v>
      </c>
      <c r="C10" s="1098"/>
      <c r="D10" s="1098"/>
      <c r="E10" s="1099"/>
      <c r="F10" s="304" t="s">
        <v>3</v>
      </c>
      <c r="G10" s="297" t="s">
        <v>4</v>
      </c>
      <c r="H10" s="317" t="s">
        <v>5</v>
      </c>
      <c r="I10" s="1090" t="s">
        <v>640</v>
      </c>
      <c r="J10" s="1088" t="s">
        <v>641</v>
      </c>
      <c r="K10" s="318" t="s">
        <v>3</v>
      </c>
      <c r="L10" s="297" t="s">
        <v>4</v>
      </c>
      <c r="M10" s="317" t="s">
        <v>5</v>
      </c>
      <c r="N10" s="1090" t="s">
        <v>640</v>
      </c>
      <c r="O10" s="1088" t="s">
        <v>641</v>
      </c>
      <c r="P10" s="318" t="s">
        <v>3</v>
      </c>
      <c r="Q10" s="297" t="s">
        <v>4</v>
      </c>
      <c r="R10" s="317" t="s">
        <v>5</v>
      </c>
      <c r="S10" s="1090" t="s">
        <v>640</v>
      </c>
      <c r="T10" s="1088" t="s">
        <v>641</v>
      </c>
      <c r="V10" s="28"/>
    </row>
    <row r="11" spans="1:22" ht="14.25" customHeight="1">
      <c r="A11" s="6"/>
      <c r="B11" s="1100"/>
      <c r="C11" s="1101"/>
      <c r="D11" s="1101"/>
      <c r="E11" s="1102"/>
      <c r="F11" s="305" t="s">
        <v>6</v>
      </c>
      <c r="G11" s="301" t="s">
        <v>7</v>
      </c>
      <c r="H11" s="319"/>
      <c r="I11" s="1091"/>
      <c r="J11" s="1089"/>
      <c r="K11" s="320" t="s">
        <v>6</v>
      </c>
      <c r="L11" s="301" t="s">
        <v>7</v>
      </c>
      <c r="M11" s="319"/>
      <c r="N11" s="1091"/>
      <c r="O11" s="1089"/>
      <c r="P11" s="320" t="s">
        <v>6</v>
      </c>
      <c r="Q11" s="301" t="s">
        <v>7</v>
      </c>
      <c r="R11" s="319"/>
      <c r="S11" s="1091"/>
      <c r="T11" s="1089"/>
      <c r="V11" s="28"/>
    </row>
    <row r="12" spans="1:22" ht="14.25" customHeight="1" thickBot="1">
      <c r="A12" s="6"/>
      <c r="B12" s="1103"/>
      <c r="C12" s="1104"/>
      <c r="D12" s="1104"/>
      <c r="E12" s="1105"/>
      <c r="F12" s="305" t="s">
        <v>8</v>
      </c>
      <c r="G12" s="301" t="s">
        <v>9</v>
      </c>
      <c r="H12" s="319" t="s">
        <v>10</v>
      </c>
      <c r="I12" s="1091"/>
      <c r="J12" s="1089"/>
      <c r="K12" s="320" t="s">
        <v>8</v>
      </c>
      <c r="L12" s="301" t="s">
        <v>9</v>
      </c>
      <c r="M12" s="319" t="s">
        <v>10</v>
      </c>
      <c r="N12" s="1091"/>
      <c r="O12" s="1089"/>
      <c r="P12" s="320" t="s">
        <v>8</v>
      </c>
      <c r="Q12" s="301" t="s">
        <v>9</v>
      </c>
      <c r="R12" s="319" t="s">
        <v>10</v>
      </c>
      <c r="S12" s="1091"/>
      <c r="T12" s="1089"/>
      <c r="V12" s="28"/>
    </row>
    <row r="13" spans="1:20" ht="25.5" customHeight="1">
      <c r="A13" s="6"/>
      <c r="B13" s="586"/>
      <c r="C13" s="130" t="s">
        <v>29</v>
      </c>
      <c r="D13" s="589"/>
      <c r="E13" s="157" t="s">
        <v>30</v>
      </c>
      <c r="F13" s="120">
        <f>IF('対象者一覧表'!$G$33="","",'対象者一覧表'!$G$33)</f>
        <v>0</v>
      </c>
      <c r="G13" s="471"/>
      <c r="H13" s="135">
        <f aca="true" t="shared" si="0" ref="H13:H23">IF(F13="","",ROUNDDOWN((G13*F13),0))</f>
        <v>0</v>
      </c>
      <c r="I13" s="594"/>
      <c r="J13" s="313">
        <f>IF(F13="","",MIN(H13,I13))</f>
        <v>0</v>
      </c>
      <c r="K13" s="136">
        <f>IF('対象者一覧表'!$G$34="","",'対象者一覧表'!$G$34)</f>
        <v>0</v>
      </c>
      <c r="L13" s="471"/>
      <c r="M13" s="135">
        <f aca="true" t="shared" si="1" ref="M13:M23">IF(K13="","",ROUNDDOWN((L13*K13),0))</f>
        <v>0</v>
      </c>
      <c r="N13" s="597"/>
      <c r="O13" s="313">
        <f>IF(K13="","",MIN(M13,N13))</f>
        <v>0</v>
      </c>
      <c r="P13" s="136">
        <f>IF('対象者一覧表'!$G$35="","",'対象者一覧表'!$G$35)</f>
        <v>0</v>
      </c>
      <c r="Q13" s="471"/>
      <c r="R13" s="135">
        <f aca="true" t="shared" si="2" ref="R13:R23">IF(P13="","",ROUNDDOWN((Q13*P13),0))</f>
        <v>0</v>
      </c>
      <c r="S13" s="597"/>
      <c r="T13" s="313">
        <f>IF(P13="","",MIN(R13,S13))</f>
        <v>0</v>
      </c>
    </row>
    <row r="14" spans="1:20" ht="25.5" customHeight="1">
      <c r="A14" s="6"/>
      <c r="B14" s="587"/>
      <c r="C14" s="124" t="s">
        <v>29</v>
      </c>
      <c r="D14" s="590"/>
      <c r="E14" s="124" t="s">
        <v>30</v>
      </c>
      <c r="F14" s="116">
        <f>IF('対象者一覧表'!$G$33="","",'対象者一覧表'!$G$33)</f>
        <v>0</v>
      </c>
      <c r="G14" s="472"/>
      <c r="H14" s="107">
        <f t="shared" si="0"/>
        <v>0</v>
      </c>
      <c r="I14" s="595"/>
      <c r="J14" s="314">
        <f aca="true" t="shared" si="3" ref="J14:J23">IF(F14="","",MIN(H14,I14))</f>
        <v>0</v>
      </c>
      <c r="K14" s="108">
        <f>IF('対象者一覧表'!$G$34="","",'対象者一覧表'!$G$34)</f>
        <v>0</v>
      </c>
      <c r="L14" s="472"/>
      <c r="M14" s="107">
        <f t="shared" si="1"/>
        <v>0</v>
      </c>
      <c r="N14" s="598"/>
      <c r="O14" s="314">
        <f aca="true" t="shared" si="4" ref="O14:O23">IF(K14="","",MIN(M14,N14))</f>
        <v>0</v>
      </c>
      <c r="P14" s="108">
        <f>IF('対象者一覧表'!$G$35="","",'対象者一覧表'!$G$35)</f>
        <v>0</v>
      </c>
      <c r="Q14" s="472"/>
      <c r="R14" s="107">
        <f t="shared" si="2"/>
        <v>0</v>
      </c>
      <c r="S14" s="598"/>
      <c r="T14" s="314">
        <f aca="true" t="shared" si="5" ref="T14:T23">IF(P14="","",MIN(R14,S14))</f>
        <v>0</v>
      </c>
    </row>
    <row r="15" spans="1:20" ht="25.5" customHeight="1">
      <c r="A15" s="6"/>
      <c r="B15" s="587"/>
      <c r="C15" s="124" t="s">
        <v>29</v>
      </c>
      <c r="D15" s="590"/>
      <c r="E15" s="158" t="s">
        <v>30</v>
      </c>
      <c r="F15" s="116">
        <f>IF('対象者一覧表'!$G$33="","",'対象者一覧表'!$G$33)</f>
        <v>0</v>
      </c>
      <c r="G15" s="472"/>
      <c r="H15" s="107">
        <f t="shared" si="0"/>
        <v>0</v>
      </c>
      <c r="I15" s="595"/>
      <c r="J15" s="314">
        <f t="shared" si="3"/>
        <v>0</v>
      </c>
      <c r="K15" s="108">
        <f>IF('対象者一覧表'!$G$34="","",'対象者一覧表'!$G$34)</f>
        <v>0</v>
      </c>
      <c r="L15" s="472"/>
      <c r="M15" s="107">
        <f t="shared" si="1"/>
        <v>0</v>
      </c>
      <c r="N15" s="598"/>
      <c r="O15" s="314">
        <f t="shared" si="4"/>
        <v>0</v>
      </c>
      <c r="P15" s="108">
        <f>IF('対象者一覧表'!$G$35="","",'対象者一覧表'!$G$35)</f>
        <v>0</v>
      </c>
      <c r="Q15" s="472"/>
      <c r="R15" s="107">
        <f t="shared" si="2"/>
        <v>0</v>
      </c>
      <c r="S15" s="598"/>
      <c r="T15" s="314">
        <f t="shared" si="5"/>
        <v>0</v>
      </c>
    </row>
    <row r="16" spans="1:20" ht="25.5" customHeight="1">
      <c r="A16" s="6"/>
      <c r="B16" s="593"/>
      <c r="C16" s="125" t="s">
        <v>29</v>
      </c>
      <c r="D16" s="591"/>
      <c r="E16" s="125" t="s">
        <v>21</v>
      </c>
      <c r="F16" s="116">
        <f>IF('対象者一覧表'!$G$33="","",'対象者一覧表'!$G$33)</f>
        <v>0</v>
      </c>
      <c r="G16" s="473"/>
      <c r="H16" s="107">
        <f t="shared" si="0"/>
        <v>0</v>
      </c>
      <c r="I16" s="595"/>
      <c r="J16" s="314">
        <f t="shared" si="3"/>
        <v>0</v>
      </c>
      <c r="K16" s="108">
        <f>IF('対象者一覧表'!$G$34="","",'対象者一覧表'!$G$34)</f>
        <v>0</v>
      </c>
      <c r="L16" s="473"/>
      <c r="M16" s="107">
        <f t="shared" si="1"/>
        <v>0</v>
      </c>
      <c r="N16" s="598"/>
      <c r="O16" s="314">
        <f t="shared" si="4"/>
        <v>0</v>
      </c>
      <c r="P16" s="108">
        <f>IF('対象者一覧表'!$G$35="","",'対象者一覧表'!$G$35)</f>
        <v>0</v>
      </c>
      <c r="Q16" s="473"/>
      <c r="R16" s="107">
        <f t="shared" si="2"/>
        <v>0</v>
      </c>
      <c r="S16" s="598"/>
      <c r="T16" s="314">
        <f t="shared" si="5"/>
        <v>0</v>
      </c>
    </row>
    <row r="17" spans="1:20" ht="25.5" customHeight="1">
      <c r="A17" s="6"/>
      <c r="B17" s="587"/>
      <c r="C17" s="124" t="s">
        <v>29</v>
      </c>
      <c r="D17" s="590"/>
      <c r="E17" s="124" t="s">
        <v>21</v>
      </c>
      <c r="F17" s="116">
        <f>IF('対象者一覧表'!$G$33="","",'対象者一覧表'!$G$33)</f>
        <v>0</v>
      </c>
      <c r="G17" s="472"/>
      <c r="H17" s="107">
        <f t="shared" si="0"/>
        <v>0</v>
      </c>
      <c r="I17" s="595"/>
      <c r="J17" s="314">
        <f t="shared" si="3"/>
        <v>0</v>
      </c>
      <c r="K17" s="108">
        <f>IF('対象者一覧表'!$G$34="","",'対象者一覧表'!$G$34)</f>
        <v>0</v>
      </c>
      <c r="L17" s="472"/>
      <c r="M17" s="107">
        <f t="shared" si="1"/>
        <v>0</v>
      </c>
      <c r="N17" s="598"/>
      <c r="O17" s="314">
        <f t="shared" si="4"/>
        <v>0</v>
      </c>
      <c r="P17" s="108">
        <f>IF('対象者一覧表'!$G$35="","",'対象者一覧表'!$G$35)</f>
        <v>0</v>
      </c>
      <c r="Q17" s="472"/>
      <c r="R17" s="107">
        <f t="shared" si="2"/>
        <v>0</v>
      </c>
      <c r="S17" s="598"/>
      <c r="T17" s="314">
        <f t="shared" si="5"/>
        <v>0</v>
      </c>
    </row>
    <row r="18" spans="1:22" ht="25.5" customHeight="1">
      <c r="A18" s="6"/>
      <c r="B18" s="587"/>
      <c r="C18" s="124" t="s">
        <v>29</v>
      </c>
      <c r="D18" s="590"/>
      <c r="E18" s="124" t="s">
        <v>21</v>
      </c>
      <c r="F18" s="116">
        <f>IF('対象者一覧表'!$G$33="","",'対象者一覧表'!$G$33)</f>
        <v>0</v>
      </c>
      <c r="G18" s="472"/>
      <c r="H18" s="107">
        <f t="shared" si="0"/>
        <v>0</v>
      </c>
      <c r="I18" s="595"/>
      <c r="J18" s="314">
        <f t="shared" si="3"/>
        <v>0</v>
      </c>
      <c r="K18" s="108">
        <f>IF('対象者一覧表'!$G$34="","",'対象者一覧表'!$G$34)</f>
        <v>0</v>
      </c>
      <c r="L18" s="472"/>
      <c r="M18" s="107">
        <f t="shared" si="1"/>
        <v>0</v>
      </c>
      <c r="N18" s="598"/>
      <c r="O18" s="314">
        <f t="shared" si="4"/>
        <v>0</v>
      </c>
      <c r="P18" s="108">
        <f>IF('対象者一覧表'!$G$35="","",'対象者一覧表'!$G$35)</f>
        <v>0</v>
      </c>
      <c r="Q18" s="472"/>
      <c r="R18" s="107">
        <f t="shared" si="2"/>
        <v>0</v>
      </c>
      <c r="S18" s="598"/>
      <c r="T18" s="314">
        <f t="shared" si="5"/>
        <v>0</v>
      </c>
      <c r="V18" s="103"/>
    </row>
    <row r="19" spans="1:22" ht="25.5" customHeight="1">
      <c r="A19" s="6"/>
      <c r="B19" s="587"/>
      <c r="C19" s="124" t="s">
        <v>29</v>
      </c>
      <c r="D19" s="590"/>
      <c r="E19" s="124" t="s">
        <v>21</v>
      </c>
      <c r="F19" s="116">
        <f>IF('対象者一覧表'!$G$33="","",'対象者一覧表'!$G$33)</f>
        <v>0</v>
      </c>
      <c r="G19" s="472"/>
      <c r="H19" s="107">
        <f t="shared" si="0"/>
        <v>0</v>
      </c>
      <c r="I19" s="595"/>
      <c r="J19" s="314">
        <f t="shared" si="3"/>
        <v>0</v>
      </c>
      <c r="K19" s="108">
        <f>IF('対象者一覧表'!$G$34="","",'対象者一覧表'!$G$34)</f>
        <v>0</v>
      </c>
      <c r="L19" s="472"/>
      <c r="M19" s="107">
        <f t="shared" si="1"/>
        <v>0</v>
      </c>
      <c r="N19" s="598"/>
      <c r="O19" s="314">
        <f t="shared" si="4"/>
        <v>0</v>
      </c>
      <c r="P19" s="108">
        <f>IF('対象者一覧表'!$G$35="","",'対象者一覧表'!$G$35)</f>
        <v>0</v>
      </c>
      <c r="Q19" s="472"/>
      <c r="R19" s="107">
        <f t="shared" si="2"/>
        <v>0</v>
      </c>
      <c r="S19" s="598"/>
      <c r="T19" s="314">
        <f t="shared" si="5"/>
        <v>0</v>
      </c>
      <c r="V19" s="103"/>
    </row>
    <row r="20" spans="1:22" ht="25.5" customHeight="1">
      <c r="A20" s="6"/>
      <c r="B20" s="587"/>
      <c r="C20" s="124" t="s">
        <v>29</v>
      </c>
      <c r="D20" s="590"/>
      <c r="E20" s="124" t="s">
        <v>30</v>
      </c>
      <c r="F20" s="116">
        <f>IF('対象者一覧表'!$G$33="","",'対象者一覧表'!$G$33)</f>
        <v>0</v>
      </c>
      <c r="G20" s="472"/>
      <c r="H20" s="107">
        <f t="shared" si="0"/>
        <v>0</v>
      </c>
      <c r="I20" s="595"/>
      <c r="J20" s="314">
        <f t="shared" si="3"/>
        <v>0</v>
      </c>
      <c r="K20" s="108">
        <f>IF('対象者一覧表'!$G$34="","",'対象者一覧表'!$G$34)</f>
        <v>0</v>
      </c>
      <c r="L20" s="472"/>
      <c r="M20" s="107">
        <f t="shared" si="1"/>
        <v>0</v>
      </c>
      <c r="N20" s="598"/>
      <c r="O20" s="314">
        <f t="shared" si="4"/>
        <v>0</v>
      </c>
      <c r="P20" s="108">
        <f>IF('対象者一覧表'!$G$35="","",'対象者一覧表'!$G$35)</f>
        <v>0</v>
      </c>
      <c r="Q20" s="472"/>
      <c r="R20" s="107">
        <f t="shared" si="2"/>
        <v>0</v>
      </c>
      <c r="S20" s="598"/>
      <c r="T20" s="314">
        <f t="shared" si="5"/>
        <v>0</v>
      </c>
      <c r="V20" s="76"/>
    </row>
    <row r="21" spans="1:22" ht="25.5" customHeight="1">
      <c r="A21" s="6"/>
      <c r="B21" s="587"/>
      <c r="C21" s="124" t="s">
        <v>29</v>
      </c>
      <c r="D21" s="590"/>
      <c r="E21" s="124" t="s">
        <v>21</v>
      </c>
      <c r="F21" s="116">
        <f>IF('対象者一覧表'!$G$33="","",'対象者一覧表'!$G$33)</f>
        <v>0</v>
      </c>
      <c r="G21" s="472"/>
      <c r="H21" s="107">
        <f t="shared" si="0"/>
        <v>0</v>
      </c>
      <c r="I21" s="595"/>
      <c r="J21" s="314">
        <f t="shared" si="3"/>
        <v>0</v>
      </c>
      <c r="K21" s="108">
        <f>IF('対象者一覧表'!$G$34="","",'対象者一覧表'!$G$34)</f>
        <v>0</v>
      </c>
      <c r="L21" s="472"/>
      <c r="M21" s="107">
        <f t="shared" si="1"/>
        <v>0</v>
      </c>
      <c r="N21" s="598"/>
      <c r="O21" s="314">
        <f t="shared" si="4"/>
        <v>0</v>
      </c>
      <c r="P21" s="108">
        <f>IF('対象者一覧表'!$G$35="","",'対象者一覧表'!$G$35)</f>
        <v>0</v>
      </c>
      <c r="Q21" s="472"/>
      <c r="R21" s="107">
        <f t="shared" si="2"/>
        <v>0</v>
      </c>
      <c r="S21" s="598"/>
      <c r="T21" s="314">
        <f t="shared" si="5"/>
        <v>0</v>
      </c>
      <c r="V21" s="76"/>
    </row>
    <row r="22" spans="1:22" ht="25.5" customHeight="1">
      <c r="A22" s="6"/>
      <c r="B22" s="587"/>
      <c r="C22" s="124" t="s">
        <v>29</v>
      </c>
      <c r="D22" s="590"/>
      <c r="E22" s="124" t="s">
        <v>21</v>
      </c>
      <c r="F22" s="116">
        <f>IF('対象者一覧表'!$G$33="","",'対象者一覧表'!$G$33)</f>
        <v>0</v>
      </c>
      <c r="G22" s="473"/>
      <c r="H22" s="107">
        <f t="shared" si="0"/>
        <v>0</v>
      </c>
      <c r="I22" s="595"/>
      <c r="J22" s="314">
        <f t="shared" si="3"/>
        <v>0</v>
      </c>
      <c r="K22" s="108">
        <f>IF('対象者一覧表'!$G$34="","",'対象者一覧表'!$G$34)</f>
        <v>0</v>
      </c>
      <c r="L22" s="473"/>
      <c r="M22" s="107">
        <f t="shared" si="1"/>
        <v>0</v>
      </c>
      <c r="N22" s="598"/>
      <c r="O22" s="314">
        <f t="shared" si="4"/>
        <v>0</v>
      </c>
      <c r="P22" s="108">
        <f>IF('対象者一覧表'!$G$35="","",'対象者一覧表'!$G$35)</f>
        <v>0</v>
      </c>
      <c r="Q22" s="473"/>
      <c r="R22" s="107">
        <f t="shared" si="2"/>
        <v>0</v>
      </c>
      <c r="S22" s="598"/>
      <c r="T22" s="314">
        <f t="shared" si="5"/>
        <v>0</v>
      </c>
      <c r="V22" s="76"/>
    </row>
    <row r="23" spans="1:20" ht="25.5" customHeight="1" thickBot="1">
      <c r="A23" s="6"/>
      <c r="B23" s="588"/>
      <c r="C23" s="126" t="s">
        <v>29</v>
      </c>
      <c r="D23" s="592"/>
      <c r="E23" s="126" t="s">
        <v>21</v>
      </c>
      <c r="F23" s="131">
        <f>IF('対象者一覧表'!$G$33="","",'対象者一覧表'!$G$33)</f>
        <v>0</v>
      </c>
      <c r="G23" s="474"/>
      <c r="H23" s="137">
        <f t="shared" si="0"/>
        <v>0</v>
      </c>
      <c r="I23" s="596"/>
      <c r="J23" s="316">
        <f t="shared" si="3"/>
        <v>0</v>
      </c>
      <c r="K23" s="138">
        <f>IF('対象者一覧表'!$G$34="","",'対象者一覧表'!$G$34)</f>
        <v>0</v>
      </c>
      <c r="L23" s="474"/>
      <c r="M23" s="137">
        <f t="shared" si="1"/>
        <v>0</v>
      </c>
      <c r="N23" s="599"/>
      <c r="O23" s="315">
        <f t="shared" si="4"/>
        <v>0</v>
      </c>
      <c r="P23" s="138">
        <f>IF('対象者一覧表'!$G$35="","",'対象者一覧表'!$G$35)</f>
        <v>0</v>
      </c>
      <c r="Q23" s="474"/>
      <c r="R23" s="137">
        <f t="shared" si="2"/>
        <v>0</v>
      </c>
      <c r="S23" s="599"/>
      <c r="T23" s="315">
        <f t="shared" si="5"/>
        <v>0</v>
      </c>
    </row>
    <row r="24" spans="1:20" ht="25.5" customHeight="1" thickBot="1">
      <c r="A24" s="6"/>
      <c r="B24" s="1106" t="s">
        <v>0</v>
      </c>
      <c r="C24" s="1107"/>
      <c r="D24" s="1107"/>
      <c r="E24" s="1108"/>
      <c r="F24" s="109"/>
      <c r="G24" s="110">
        <f>SUM(G13:G23)</f>
        <v>0</v>
      </c>
      <c r="H24" s="161">
        <f>SUM(H13:H23)</f>
        <v>0</v>
      </c>
      <c r="I24" s="541">
        <f>SUM(I13:I23)</f>
        <v>0</v>
      </c>
      <c r="J24" s="165">
        <f>SUM(J13:J23)</f>
        <v>0</v>
      </c>
      <c r="K24" s="162"/>
      <c r="L24" s="110">
        <f>SUM(L13:L23)</f>
        <v>0</v>
      </c>
      <c r="M24" s="161">
        <f>SUM(M13:M23)</f>
        <v>0</v>
      </c>
      <c r="N24" s="541">
        <f>SUM(N13:N23)</f>
        <v>0</v>
      </c>
      <c r="O24" s="165">
        <f>SUM(O13:O23)</f>
        <v>0</v>
      </c>
      <c r="P24" s="162"/>
      <c r="Q24" s="110">
        <f>SUM(Q13:Q23)</f>
        <v>0</v>
      </c>
      <c r="R24" s="161">
        <f>SUM(R13:R23)</f>
        <v>0</v>
      </c>
      <c r="S24" s="541">
        <f>SUM(S13:S23)</f>
        <v>0</v>
      </c>
      <c r="T24" s="165">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112" t="s">
        <v>2</v>
      </c>
      <c r="C26" s="1113"/>
      <c r="D26" s="1113"/>
      <c r="E26" s="1113"/>
      <c r="F26" s="1119" t="str">
        <f>'対象者一覧表'!C36</f>
        <v>西村　酉汰</v>
      </c>
      <c r="G26" s="1120"/>
      <c r="H26" s="1120"/>
      <c r="I26" s="1120"/>
      <c r="J26" s="1121"/>
      <c r="K26" s="1122" t="str">
        <f>'対象者一覧表'!C37</f>
        <v>斎藤　戌</v>
      </c>
      <c r="L26" s="1120"/>
      <c r="M26" s="1120"/>
      <c r="N26" s="1120"/>
      <c r="O26" s="1121"/>
      <c r="P26" s="1122" t="str">
        <f>'対象者一覧表'!C38</f>
        <v>酒井　亥</v>
      </c>
      <c r="Q26" s="1120"/>
      <c r="R26" s="1120"/>
      <c r="S26" s="1120"/>
      <c r="T26" s="1123"/>
    </row>
    <row r="27" spans="1:20" ht="33.75" customHeight="1">
      <c r="A27" s="6"/>
      <c r="B27" s="1097" t="s">
        <v>687</v>
      </c>
      <c r="C27" s="1098"/>
      <c r="D27" s="1098"/>
      <c r="E27" s="1099"/>
      <c r="F27" s="321" t="s">
        <v>3</v>
      </c>
      <c r="G27" s="322" t="s">
        <v>4</v>
      </c>
      <c r="H27" s="323" t="s">
        <v>5</v>
      </c>
      <c r="I27" s="1090" t="s">
        <v>640</v>
      </c>
      <c r="J27" s="1088" t="s">
        <v>641</v>
      </c>
      <c r="K27" s="324" t="s">
        <v>3</v>
      </c>
      <c r="L27" s="322" t="s">
        <v>4</v>
      </c>
      <c r="M27" s="325" t="s">
        <v>5</v>
      </c>
      <c r="N27" s="1090" t="s">
        <v>640</v>
      </c>
      <c r="O27" s="1088" t="s">
        <v>641</v>
      </c>
      <c r="P27" s="321" t="s">
        <v>3</v>
      </c>
      <c r="Q27" s="322" t="s">
        <v>4</v>
      </c>
      <c r="R27" s="325" t="s">
        <v>5</v>
      </c>
      <c r="S27" s="1090" t="s">
        <v>640</v>
      </c>
      <c r="T27" s="1088" t="s">
        <v>641</v>
      </c>
    </row>
    <row r="28" spans="1:20" ht="14.25" customHeight="1">
      <c r="A28" s="6"/>
      <c r="B28" s="1100"/>
      <c r="C28" s="1101"/>
      <c r="D28" s="1101"/>
      <c r="E28" s="1102"/>
      <c r="F28" s="305" t="s">
        <v>6</v>
      </c>
      <c r="G28" s="301" t="s">
        <v>7</v>
      </c>
      <c r="H28" s="319"/>
      <c r="I28" s="1091"/>
      <c r="J28" s="1089"/>
      <c r="K28" s="320" t="s">
        <v>6</v>
      </c>
      <c r="L28" s="301" t="s">
        <v>7</v>
      </c>
      <c r="M28" s="303"/>
      <c r="N28" s="1091"/>
      <c r="O28" s="1089"/>
      <c r="P28" s="305" t="s">
        <v>6</v>
      </c>
      <c r="Q28" s="301" t="s">
        <v>7</v>
      </c>
      <c r="R28" s="303"/>
      <c r="S28" s="1091"/>
      <c r="T28" s="1089"/>
    </row>
    <row r="29" spans="1:20" ht="14.25" customHeight="1" thickBot="1">
      <c r="A29" s="6"/>
      <c r="B29" s="1103"/>
      <c r="C29" s="1104"/>
      <c r="D29" s="1104"/>
      <c r="E29" s="1105"/>
      <c r="F29" s="305" t="s">
        <v>8</v>
      </c>
      <c r="G29" s="301" t="s">
        <v>9</v>
      </c>
      <c r="H29" s="319" t="s">
        <v>10</v>
      </c>
      <c r="I29" s="1091"/>
      <c r="J29" s="1089"/>
      <c r="K29" s="320" t="s">
        <v>8</v>
      </c>
      <c r="L29" s="301" t="s">
        <v>9</v>
      </c>
      <c r="M29" s="303" t="s">
        <v>10</v>
      </c>
      <c r="N29" s="1091"/>
      <c r="O29" s="1089"/>
      <c r="P29" s="305" t="s">
        <v>8</v>
      </c>
      <c r="Q29" s="301" t="s">
        <v>9</v>
      </c>
      <c r="R29" s="303" t="s">
        <v>10</v>
      </c>
      <c r="S29" s="1091"/>
      <c r="T29" s="1089"/>
    </row>
    <row r="30" spans="1:22" ht="25.5" customHeight="1">
      <c r="A30" s="6"/>
      <c r="B30" s="586"/>
      <c r="C30" s="130" t="s">
        <v>29</v>
      </c>
      <c r="D30" s="589"/>
      <c r="E30" s="157" t="s">
        <v>30</v>
      </c>
      <c r="F30" s="120">
        <f>IF('対象者一覧表'!$G$36="","",'対象者一覧表'!$G$36)</f>
        <v>0</v>
      </c>
      <c r="G30" s="471"/>
      <c r="H30" s="135">
        <f aca="true" t="shared" si="6" ref="H30:H40">IF(F30="","",ROUNDDOWN((G30*F30),0))</f>
        <v>0</v>
      </c>
      <c r="I30" s="597"/>
      <c r="J30" s="313">
        <f>IF(F30="","",MIN(H30,I30))</f>
        <v>0</v>
      </c>
      <c r="K30" s="136">
        <f>IF('対象者一覧表'!$G$37="","",'対象者一覧表'!$G$37)</f>
        <v>0</v>
      </c>
      <c r="L30" s="471"/>
      <c r="M30" s="122">
        <f aca="true" t="shared" si="7" ref="M30:M40">IF(K30="","",ROUNDDOWN((L30*K30),0))</f>
        <v>0</v>
      </c>
      <c r="N30" s="600"/>
      <c r="O30" s="309">
        <f>IF(K30="","",MIN(M30,N30))</f>
        <v>0</v>
      </c>
      <c r="P30" s="120">
        <f>IF('対象者一覧表'!$G$38="","",'対象者一覧表'!$G$38)</f>
        <v>0</v>
      </c>
      <c r="Q30" s="471"/>
      <c r="R30" s="122">
        <f aca="true" t="shared" si="8" ref="R30:R40">IF(P30="","",ROUNDDOWN((Q30*P30),0))</f>
        <v>0</v>
      </c>
      <c r="S30" s="600"/>
      <c r="T30" s="306">
        <f>IF(P30="","",MIN(R30,S30))</f>
        <v>0</v>
      </c>
      <c r="V30" s="2"/>
    </row>
    <row r="31" spans="1:22" ht="25.5" customHeight="1">
      <c r="A31" s="6"/>
      <c r="B31" s="587"/>
      <c r="C31" s="124" t="s">
        <v>29</v>
      </c>
      <c r="D31" s="590"/>
      <c r="E31" s="124" t="s">
        <v>30</v>
      </c>
      <c r="F31" s="114">
        <f>IF('対象者一覧表'!$G$36="","",'対象者一覧表'!$G$36)</f>
        <v>0</v>
      </c>
      <c r="G31" s="472"/>
      <c r="H31" s="107">
        <f t="shared" si="6"/>
        <v>0</v>
      </c>
      <c r="I31" s="598"/>
      <c r="J31" s="314">
        <f aca="true" t="shared" si="9" ref="J31:J40">IF(F31="","",MIN(H31,I31))</f>
        <v>0</v>
      </c>
      <c r="K31" s="108">
        <f>IF('対象者一覧表'!$G$37="","",'対象者一覧表'!$G$37)</f>
        <v>0</v>
      </c>
      <c r="L31" s="472"/>
      <c r="M31" s="115">
        <f t="shared" si="7"/>
        <v>0</v>
      </c>
      <c r="N31" s="601"/>
      <c r="O31" s="310">
        <f aca="true" t="shared" si="10" ref="O31:O40">IF(K31="","",MIN(M31,N31))</f>
        <v>0</v>
      </c>
      <c r="P31" s="116">
        <f>IF('対象者一覧表'!$G$38="","",'対象者一覧表'!$G$38)</f>
        <v>0</v>
      </c>
      <c r="Q31" s="472"/>
      <c r="R31" s="115">
        <f t="shared" si="8"/>
        <v>0</v>
      </c>
      <c r="S31" s="601"/>
      <c r="T31" s="307">
        <f aca="true" t="shared" si="11" ref="T31:T40">IF(P31="","",MIN(R31,S31))</f>
        <v>0</v>
      </c>
      <c r="V31" s="2"/>
    </row>
    <row r="32" spans="1:22" ht="25.5" customHeight="1">
      <c r="A32" s="6"/>
      <c r="B32" s="587"/>
      <c r="C32" s="124" t="s">
        <v>29</v>
      </c>
      <c r="D32" s="590"/>
      <c r="E32" s="158" t="s">
        <v>30</v>
      </c>
      <c r="F32" s="114">
        <f>IF('対象者一覧表'!$G$36="","",'対象者一覧表'!$G$36)</f>
        <v>0</v>
      </c>
      <c r="G32" s="472"/>
      <c r="H32" s="107">
        <f t="shared" si="6"/>
        <v>0</v>
      </c>
      <c r="I32" s="598"/>
      <c r="J32" s="314">
        <f t="shared" si="9"/>
        <v>0</v>
      </c>
      <c r="K32" s="163">
        <f>IF('対象者一覧表'!$G$37="","",'対象者一覧表'!$G$37)</f>
        <v>0</v>
      </c>
      <c r="L32" s="472"/>
      <c r="M32" s="115">
        <f t="shared" si="7"/>
        <v>0</v>
      </c>
      <c r="N32" s="601"/>
      <c r="O32" s="311">
        <f t="shared" si="10"/>
        <v>0</v>
      </c>
      <c r="P32" s="114">
        <f>IF('対象者一覧表'!$G$38="","",'対象者一覧表'!$G$38)</f>
        <v>0</v>
      </c>
      <c r="Q32" s="472"/>
      <c r="R32" s="115">
        <f t="shared" si="8"/>
        <v>0</v>
      </c>
      <c r="S32" s="601"/>
      <c r="T32" s="307">
        <f t="shared" si="11"/>
        <v>0</v>
      </c>
      <c r="V32" s="43"/>
    </row>
    <row r="33" spans="1:20" ht="25.5" customHeight="1">
      <c r="A33" s="6"/>
      <c r="B33" s="593"/>
      <c r="C33" s="125" t="s">
        <v>29</v>
      </c>
      <c r="D33" s="591"/>
      <c r="E33" s="125" t="s">
        <v>21</v>
      </c>
      <c r="F33" s="114">
        <f>IF('対象者一覧表'!$G$36="","",'対象者一覧表'!$G$36)</f>
        <v>0</v>
      </c>
      <c r="G33" s="473"/>
      <c r="H33" s="107">
        <f t="shared" si="6"/>
        <v>0</v>
      </c>
      <c r="I33" s="598"/>
      <c r="J33" s="314">
        <f t="shared" si="9"/>
        <v>0</v>
      </c>
      <c r="K33" s="108">
        <f>IF('対象者一覧表'!$G$37="","",'対象者一覧表'!$G$37)</f>
        <v>0</v>
      </c>
      <c r="L33" s="473"/>
      <c r="M33" s="115">
        <f t="shared" si="7"/>
        <v>0</v>
      </c>
      <c r="N33" s="601"/>
      <c r="O33" s="311">
        <f t="shared" si="10"/>
        <v>0</v>
      </c>
      <c r="P33" s="116">
        <f>IF('対象者一覧表'!$G$38="","",'対象者一覧表'!$G$38)</f>
        <v>0</v>
      </c>
      <c r="Q33" s="473"/>
      <c r="R33" s="115">
        <f t="shared" si="8"/>
        <v>0</v>
      </c>
      <c r="S33" s="601"/>
      <c r="T33" s="307">
        <f t="shared" si="11"/>
        <v>0</v>
      </c>
    </row>
    <row r="34" spans="1:20" ht="25.5" customHeight="1">
      <c r="A34" s="6"/>
      <c r="B34" s="587"/>
      <c r="C34" s="124" t="s">
        <v>29</v>
      </c>
      <c r="D34" s="590"/>
      <c r="E34" s="124" t="s">
        <v>21</v>
      </c>
      <c r="F34" s="114">
        <f>IF('対象者一覧表'!$G$36="","",'対象者一覧表'!$G$36)</f>
        <v>0</v>
      </c>
      <c r="G34" s="472"/>
      <c r="H34" s="107">
        <f t="shared" si="6"/>
        <v>0</v>
      </c>
      <c r="I34" s="598"/>
      <c r="J34" s="314">
        <f t="shared" si="9"/>
        <v>0</v>
      </c>
      <c r="K34" s="163">
        <f>IF('対象者一覧表'!$G$37="","",'対象者一覧表'!$G$37)</f>
        <v>0</v>
      </c>
      <c r="L34" s="472"/>
      <c r="M34" s="115">
        <f t="shared" si="7"/>
        <v>0</v>
      </c>
      <c r="N34" s="601"/>
      <c r="O34" s="311">
        <f t="shared" si="10"/>
        <v>0</v>
      </c>
      <c r="P34" s="114">
        <f>IF('対象者一覧表'!$G$38="","",'対象者一覧表'!$G$38)</f>
        <v>0</v>
      </c>
      <c r="Q34" s="472"/>
      <c r="R34" s="115">
        <f t="shared" si="8"/>
        <v>0</v>
      </c>
      <c r="S34" s="601"/>
      <c r="T34" s="307">
        <f t="shared" si="11"/>
        <v>0</v>
      </c>
    </row>
    <row r="35" spans="1:20" ht="25.5" customHeight="1">
      <c r="A35" s="6"/>
      <c r="B35" s="587"/>
      <c r="C35" s="124" t="s">
        <v>29</v>
      </c>
      <c r="D35" s="590"/>
      <c r="E35" s="124" t="s">
        <v>21</v>
      </c>
      <c r="F35" s="114">
        <f>IF('対象者一覧表'!$G$36="","",'対象者一覧表'!$G$36)</f>
        <v>0</v>
      </c>
      <c r="G35" s="472"/>
      <c r="H35" s="107">
        <f t="shared" si="6"/>
        <v>0</v>
      </c>
      <c r="I35" s="598"/>
      <c r="J35" s="314">
        <f t="shared" si="9"/>
        <v>0</v>
      </c>
      <c r="K35" s="108">
        <f>IF('対象者一覧表'!$G$37="","",'対象者一覧表'!$G$37)</f>
        <v>0</v>
      </c>
      <c r="L35" s="472"/>
      <c r="M35" s="115">
        <f t="shared" si="7"/>
        <v>0</v>
      </c>
      <c r="N35" s="601"/>
      <c r="O35" s="311">
        <f t="shared" si="10"/>
        <v>0</v>
      </c>
      <c r="P35" s="116">
        <f>IF('対象者一覧表'!$G$38="","",'対象者一覧表'!$G$38)</f>
        <v>0</v>
      </c>
      <c r="Q35" s="472"/>
      <c r="R35" s="115">
        <f t="shared" si="8"/>
        <v>0</v>
      </c>
      <c r="S35" s="601"/>
      <c r="T35" s="307">
        <f t="shared" si="11"/>
        <v>0</v>
      </c>
    </row>
    <row r="36" spans="1:20" ht="25.5" customHeight="1">
      <c r="A36" s="6"/>
      <c r="B36" s="587"/>
      <c r="C36" s="124" t="s">
        <v>29</v>
      </c>
      <c r="D36" s="590"/>
      <c r="E36" s="124" t="s">
        <v>21</v>
      </c>
      <c r="F36" s="114">
        <f>IF('対象者一覧表'!$G$36="","",'対象者一覧表'!$G$36)</f>
        <v>0</v>
      </c>
      <c r="G36" s="472"/>
      <c r="H36" s="107">
        <f t="shared" si="6"/>
        <v>0</v>
      </c>
      <c r="I36" s="598"/>
      <c r="J36" s="314">
        <f t="shared" si="9"/>
        <v>0</v>
      </c>
      <c r="K36" s="163">
        <f>IF('対象者一覧表'!$G$37="","",'対象者一覧表'!$G$37)</f>
        <v>0</v>
      </c>
      <c r="L36" s="472"/>
      <c r="M36" s="115">
        <f t="shared" si="7"/>
        <v>0</v>
      </c>
      <c r="N36" s="601"/>
      <c r="O36" s="311">
        <f t="shared" si="10"/>
        <v>0</v>
      </c>
      <c r="P36" s="114">
        <f>IF('対象者一覧表'!$G$38="","",'対象者一覧表'!$G$38)</f>
        <v>0</v>
      </c>
      <c r="Q36" s="472"/>
      <c r="R36" s="115">
        <f t="shared" si="8"/>
        <v>0</v>
      </c>
      <c r="S36" s="601"/>
      <c r="T36" s="307">
        <f t="shared" si="11"/>
        <v>0</v>
      </c>
    </row>
    <row r="37" spans="1:20" ht="25.5" customHeight="1">
      <c r="A37" s="6"/>
      <c r="B37" s="587"/>
      <c r="C37" s="124" t="s">
        <v>29</v>
      </c>
      <c r="D37" s="590"/>
      <c r="E37" s="124" t="s">
        <v>30</v>
      </c>
      <c r="F37" s="114">
        <f>IF('対象者一覧表'!$G$36="","",'対象者一覧表'!$G$36)</f>
        <v>0</v>
      </c>
      <c r="G37" s="472"/>
      <c r="H37" s="107">
        <f t="shared" si="6"/>
        <v>0</v>
      </c>
      <c r="I37" s="598"/>
      <c r="J37" s="314">
        <f t="shared" si="9"/>
        <v>0</v>
      </c>
      <c r="K37" s="108">
        <f>IF('対象者一覧表'!$G$37="","",'対象者一覧表'!$G$37)</f>
        <v>0</v>
      </c>
      <c r="L37" s="472"/>
      <c r="M37" s="115">
        <f t="shared" si="7"/>
        <v>0</v>
      </c>
      <c r="N37" s="601"/>
      <c r="O37" s="311">
        <f t="shared" si="10"/>
        <v>0</v>
      </c>
      <c r="P37" s="116">
        <f>IF('対象者一覧表'!$G$38="","",'対象者一覧表'!$G$38)</f>
        <v>0</v>
      </c>
      <c r="Q37" s="472"/>
      <c r="R37" s="115">
        <f t="shared" si="8"/>
        <v>0</v>
      </c>
      <c r="S37" s="601"/>
      <c r="T37" s="307">
        <f t="shared" si="11"/>
        <v>0</v>
      </c>
    </row>
    <row r="38" spans="1:20" ht="25.5" customHeight="1">
      <c r="A38" s="6"/>
      <c r="B38" s="587"/>
      <c r="C38" s="124" t="s">
        <v>29</v>
      </c>
      <c r="D38" s="590"/>
      <c r="E38" s="124" t="s">
        <v>21</v>
      </c>
      <c r="F38" s="114">
        <f>IF('対象者一覧表'!$G$36="","",'対象者一覧表'!$G$36)</f>
        <v>0</v>
      </c>
      <c r="G38" s="472"/>
      <c r="H38" s="107">
        <f t="shared" si="6"/>
        <v>0</v>
      </c>
      <c r="I38" s="598"/>
      <c r="J38" s="314">
        <f t="shared" si="9"/>
        <v>0</v>
      </c>
      <c r="K38" s="163">
        <f>IF('対象者一覧表'!$G$37="","",'対象者一覧表'!$G$37)</f>
        <v>0</v>
      </c>
      <c r="L38" s="472"/>
      <c r="M38" s="115">
        <f t="shared" si="7"/>
        <v>0</v>
      </c>
      <c r="N38" s="601"/>
      <c r="O38" s="311">
        <f t="shared" si="10"/>
        <v>0</v>
      </c>
      <c r="P38" s="114">
        <f>IF('対象者一覧表'!$G$38="","",'対象者一覧表'!$G$38)</f>
        <v>0</v>
      </c>
      <c r="Q38" s="472"/>
      <c r="R38" s="115">
        <f t="shared" si="8"/>
        <v>0</v>
      </c>
      <c r="S38" s="601"/>
      <c r="T38" s="307">
        <f t="shared" si="11"/>
        <v>0</v>
      </c>
    </row>
    <row r="39" spans="1:20" ht="25.5" customHeight="1">
      <c r="A39" s="6"/>
      <c r="B39" s="587"/>
      <c r="C39" s="124" t="s">
        <v>29</v>
      </c>
      <c r="D39" s="590"/>
      <c r="E39" s="124" t="s">
        <v>21</v>
      </c>
      <c r="F39" s="114">
        <f>IF('対象者一覧表'!$G$36="","",'対象者一覧表'!$G$36)</f>
        <v>0</v>
      </c>
      <c r="G39" s="473"/>
      <c r="H39" s="107">
        <f t="shared" si="6"/>
        <v>0</v>
      </c>
      <c r="I39" s="598"/>
      <c r="J39" s="314">
        <f t="shared" si="9"/>
        <v>0</v>
      </c>
      <c r="K39" s="108">
        <f>IF('対象者一覧表'!$G$37="","",'対象者一覧表'!$G$37)</f>
        <v>0</v>
      </c>
      <c r="L39" s="473"/>
      <c r="M39" s="115">
        <f t="shared" si="7"/>
        <v>0</v>
      </c>
      <c r="N39" s="601"/>
      <c r="O39" s="311">
        <f t="shared" si="10"/>
        <v>0</v>
      </c>
      <c r="P39" s="116">
        <f>IF('対象者一覧表'!$G$38="","",'対象者一覧表'!$G$38)</f>
        <v>0</v>
      </c>
      <c r="Q39" s="473"/>
      <c r="R39" s="115">
        <f t="shared" si="8"/>
        <v>0</v>
      </c>
      <c r="S39" s="601"/>
      <c r="T39" s="307">
        <f t="shared" si="11"/>
        <v>0</v>
      </c>
    </row>
    <row r="40" spans="1:20" ht="25.5" customHeight="1" thickBot="1">
      <c r="A40" s="6"/>
      <c r="B40" s="588"/>
      <c r="C40" s="126" t="s">
        <v>29</v>
      </c>
      <c r="D40" s="592"/>
      <c r="E40" s="126" t="s">
        <v>21</v>
      </c>
      <c r="F40" s="134">
        <f>IF('対象者一覧表'!$G$36="","",'対象者一覧表'!$G$36)</f>
        <v>0</v>
      </c>
      <c r="G40" s="474"/>
      <c r="H40" s="137">
        <f t="shared" si="6"/>
        <v>0</v>
      </c>
      <c r="I40" s="599"/>
      <c r="J40" s="315">
        <f t="shared" si="9"/>
        <v>0</v>
      </c>
      <c r="K40" s="164">
        <f>IF('対象者一覧表'!$G$37="","",'対象者一覧表'!$G$37)</f>
        <v>0</v>
      </c>
      <c r="L40" s="474"/>
      <c r="M40" s="133">
        <f t="shared" si="7"/>
        <v>0</v>
      </c>
      <c r="N40" s="602"/>
      <c r="O40" s="312">
        <f t="shared" si="10"/>
        <v>0</v>
      </c>
      <c r="P40" s="134">
        <f>IF('対象者一覧表'!$G$38="","",'対象者一覧表'!$G$38)</f>
        <v>0</v>
      </c>
      <c r="Q40" s="474"/>
      <c r="R40" s="133">
        <f t="shared" si="8"/>
        <v>0</v>
      </c>
      <c r="S40" s="602"/>
      <c r="T40" s="308">
        <f t="shared" si="11"/>
        <v>0</v>
      </c>
    </row>
    <row r="41" spans="1:20" ht="25.5" customHeight="1" thickBot="1">
      <c r="A41" s="6"/>
      <c r="B41" s="1095" t="s">
        <v>0</v>
      </c>
      <c r="C41" s="1083"/>
      <c r="D41" s="1083"/>
      <c r="E41" s="1096"/>
      <c r="F41" s="109"/>
      <c r="G41" s="110">
        <f>SUM(G30:G40)</f>
        <v>0</v>
      </c>
      <c r="H41" s="161">
        <f>SUM(H30:H40)</f>
        <v>0</v>
      </c>
      <c r="I41" s="541">
        <f>SUM(I30:I40)</f>
        <v>0</v>
      </c>
      <c r="J41" s="165">
        <f>SUM(J30:J40)</f>
        <v>0</v>
      </c>
      <c r="K41" s="162"/>
      <c r="L41" s="110">
        <f>SUM(L30:L40)</f>
        <v>0</v>
      </c>
      <c r="M41" s="111">
        <f>SUM(M30:M40)</f>
        <v>0</v>
      </c>
      <c r="N41" s="546">
        <f>SUM(N30:N40)</f>
        <v>0</v>
      </c>
      <c r="O41" s="165">
        <f>SUM(O30:O40)</f>
        <v>0</v>
      </c>
      <c r="P41" s="112"/>
      <c r="Q41" s="110">
        <f>SUM(Q30:Q40)</f>
        <v>0</v>
      </c>
      <c r="R41" s="111">
        <f>SUM(R30:R40)</f>
        <v>0</v>
      </c>
      <c r="S41" s="548">
        <f>SUM(S30:S40)</f>
        <v>0</v>
      </c>
      <c r="T41" s="113">
        <f>SUM(T30:T40)</f>
        <v>0</v>
      </c>
    </row>
    <row r="42" spans="1:20" ht="14.25" thickBot="1">
      <c r="A42" s="6"/>
      <c r="B42" s="30"/>
      <c r="C42" s="30"/>
      <c r="D42" s="30"/>
      <c r="E42" s="30"/>
      <c r="F42" s="77"/>
      <c r="G42" s="77"/>
      <c r="H42" s="77"/>
      <c r="I42" s="482"/>
      <c r="J42" s="77"/>
      <c r="K42" s="77"/>
      <c r="L42" s="77"/>
      <c r="M42" s="77"/>
      <c r="N42" s="482"/>
      <c r="O42" s="77"/>
      <c r="P42" s="77"/>
      <c r="Q42" s="77"/>
      <c r="R42" s="77"/>
      <c r="S42" s="482"/>
      <c r="T42" s="77"/>
    </row>
    <row r="43" spans="1:20" ht="25.5" customHeight="1" thickBot="1">
      <c r="A43" s="6"/>
      <c r="B43" s="1110" t="s">
        <v>146</v>
      </c>
      <c r="C43" s="1111"/>
      <c r="D43" s="1111"/>
      <c r="E43" s="1111"/>
      <c r="F43" s="117"/>
      <c r="G43" s="118">
        <f>SUM(J24,O24,T24,J41,O41,T41)</f>
        <v>0</v>
      </c>
      <c r="H43" s="119" t="s">
        <v>11</v>
      </c>
      <c r="I43" s="542"/>
      <c r="J43" s="105"/>
      <c r="K43" s="77"/>
      <c r="L43" s="77"/>
      <c r="M43" s="77"/>
      <c r="N43" s="482"/>
      <c r="O43" s="77"/>
      <c r="P43" s="77"/>
      <c r="Q43" s="77"/>
      <c r="R43" s="77"/>
      <c r="S43" s="482"/>
      <c r="T43" s="77"/>
    </row>
    <row r="44" spans="1:20" ht="25.5" customHeight="1" thickBot="1">
      <c r="A44" s="6"/>
      <c r="B44" s="1110" t="s">
        <v>147</v>
      </c>
      <c r="C44" s="1111"/>
      <c r="D44" s="1111"/>
      <c r="E44" s="1111"/>
      <c r="F44" s="117"/>
      <c r="G44" s="118">
        <f>G43+'直接人件費明細書(1)'!G43</f>
        <v>2591150</v>
      </c>
      <c r="H44" s="119" t="s">
        <v>11</v>
      </c>
      <c r="I44" s="542"/>
      <c r="J44" s="105"/>
      <c r="K44" s="77"/>
      <c r="L44" s="77"/>
      <c r="M44" s="77"/>
      <c r="N44" s="482"/>
      <c r="O44" s="77"/>
      <c r="P44" s="77"/>
      <c r="Q44" s="77"/>
      <c r="R44" s="77"/>
      <c r="S44" s="482"/>
      <c r="T44" s="77"/>
    </row>
    <row r="45" spans="1:20" ht="13.5">
      <c r="A45" s="6"/>
      <c r="B45" s="106"/>
      <c r="C45" s="106"/>
      <c r="D45" s="106"/>
      <c r="E45" s="106"/>
      <c r="F45" s="31"/>
      <c r="G45" s="31"/>
      <c r="H45" s="32"/>
      <c r="I45" s="543"/>
      <c r="J45" s="32"/>
      <c r="K45" s="6"/>
      <c r="L45" s="6"/>
      <c r="M45" s="6"/>
      <c r="O45" s="6"/>
      <c r="P45" s="6"/>
      <c r="Q45" s="6"/>
      <c r="R45" s="6"/>
      <c r="T45" s="6"/>
    </row>
    <row r="46" ht="13.5">
      <c r="B46" s="100" t="s">
        <v>653</v>
      </c>
    </row>
    <row r="47" spans="2:12" ht="13.5">
      <c r="B47" s="100" t="s">
        <v>718</v>
      </c>
      <c r="L47" s="103"/>
    </row>
    <row r="48" spans="2:12" ht="13.5">
      <c r="B48" s="100" t="s">
        <v>719</v>
      </c>
      <c r="L48" s="103"/>
    </row>
    <row r="49" spans="2:12" ht="13.5">
      <c r="B49" s="196" t="s">
        <v>661</v>
      </c>
      <c r="L49" s="103"/>
    </row>
    <row r="50" spans="2:12" ht="13.5">
      <c r="B50" s="100" t="s">
        <v>657</v>
      </c>
      <c r="L50" s="103"/>
    </row>
    <row r="51" spans="2:21" ht="13.5">
      <c r="B51" s="100" t="s">
        <v>658</v>
      </c>
      <c r="C51" s="5"/>
      <c r="D51" s="5"/>
      <c r="E51" s="5"/>
      <c r="F51" s="5"/>
      <c r="G51" s="5"/>
      <c r="H51" s="5"/>
      <c r="I51" s="544"/>
      <c r="J51" s="5"/>
      <c r="K51" s="104"/>
      <c r="L51" s="5"/>
      <c r="M51" s="5"/>
      <c r="N51" s="544"/>
      <c r="O51" s="5"/>
      <c r="P51" s="5"/>
      <c r="Q51" s="5"/>
      <c r="R51" s="5"/>
      <c r="S51" s="544"/>
      <c r="T51" s="5"/>
      <c r="U51" s="5"/>
    </row>
    <row r="52" spans="2:12" ht="13.5">
      <c r="B52" s="100" t="s">
        <v>659</v>
      </c>
      <c r="L52" s="103"/>
    </row>
  </sheetData>
  <sheetProtection sheet="1" objects="1" scenarios="1"/>
  <mergeCells count="28">
    <mergeCell ref="S27:S29"/>
    <mergeCell ref="B41:E41"/>
    <mergeCell ref="B24:E24"/>
    <mergeCell ref="T27:T29"/>
    <mergeCell ref="B43:E43"/>
    <mergeCell ref="J10:J12"/>
    <mergeCell ref="O10:O12"/>
    <mergeCell ref="T10:T12"/>
    <mergeCell ref="B26:E26"/>
    <mergeCell ref="B27:E29"/>
    <mergeCell ref="P9:T9"/>
    <mergeCell ref="I10:I12"/>
    <mergeCell ref="I27:I29"/>
    <mergeCell ref="B44:E44"/>
    <mergeCell ref="F26:J26"/>
    <mergeCell ref="K26:O26"/>
    <mergeCell ref="P26:T26"/>
    <mergeCell ref="N10:N12"/>
    <mergeCell ref="S10:S12"/>
    <mergeCell ref="O27:O29"/>
    <mergeCell ref="J27:J29"/>
    <mergeCell ref="N27:N29"/>
    <mergeCell ref="A4:E4"/>
    <mergeCell ref="C5:F5"/>
    <mergeCell ref="B9:E9"/>
    <mergeCell ref="F9:J9"/>
    <mergeCell ref="K9:O9"/>
    <mergeCell ref="B10:E12"/>
  </mergeCells>
  <dataValidations count="1">
    <dataValidation allowBlank="1" showInputMessage="1" showErrorMessage="1" imeMode="halfAlpha" sqref="V32 F30:T40 F13:T23"/>
  </dataValidations>
  <hyperlinks>
    <hyperlink ref="B2" location="'基本情報入力（使い方）'!A118"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1.xml><?xml version="1.0" encoding="utf-8"?>
<worksheet xmlns="http://schemas.openxmlformats.org/spreadsheetml/2006/main" xmlns:r="http://schemas.openxmlformats.org/officeDocument/2006/relationships">
  <sheetPr codeName="Sheet31">
    <tabColor rgb="FFFFFF00"/>
    <pageSetUpPr fitToPage="1"/>
  </sheetPr>
  <dimension ref="A1:AN66"/>
  <sheetViews>
    <sheetView showGridLines="0" zoomScaleSheetLayoutView="75" zoomScalePageLayoutView="50" workbookViewId="0" topLeftCell="A1">
      <selection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IF('対象者一覧表'!E10="","",'対象者一覧表'!E10)</f>
        <v>設計部</v>
      </c>
      <c r="C6" s="1126"/>
      <c r="D6" s="750" t="str">
        <f>IF('対象者一覧表'!F10="","",'対象者一覧表'!F10)</f>
        <v>チーフ</v>
      </c>
      <c r="G6" s="707"/>
      <c r="H6" s="707"/>
      <c r="I6" s="707"/>
      <c r="K6" s="90"/>
      <c r="L6" s="15" t="s">
        <v>833</v>
      </c>
      <c r="N6" s="93"/>
      <c r="O6" s="93"/>
      <c r="P6" s="93"/>
      <c r="Q6"/>
      <c r="R6"/>
      <c r="S6"/>
      <c r="T6"/>
      <c r="U6"/>
      <c r="V6"/>
      <c r="W6" s="707"/>
      <c r="X6" s="707"/>
    </row>
    <row r="7" spans="1:24" ht="18" customHeight="1">
      <c r="A7" s="752" t="s">
        <v>67</v>
      </c>
      <c r="B7" s="1126" t="str">
        <f>IF('対象者一覧表'!D10="","",'対象者一覧表'!D10)</f>
        <v>山田　美子</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IF('対象者一覧表'!H10="","",'対象者一覧表'!H10)</f>
        <v>27395</v>
      </c>
      <c r="C8" s="1127"/>
      <c r="D8" s="754">
        <f>IF(B8="","",DATEDIF(B8,E13,"Y"))</f>
        <v>39</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1004</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1006</v>
      </c>
      <c r="I12"/>
      <c r="J12" s="217"/>
      <c r="L12" s="217" t="s">
        <v>1006</v>
      </c>
      <c r="R12" s="217" t="s">
        <v>1006</v>
      </c>
    </row>
    <row r="13" spans="1:27" ht="15" customHeight="1" thickBot="1">
      <c r="A13" s="1130" t="s">
        <v>700</v>
      </c>
      <c r="B13" s="1131"/>
      <c r="C13" s="1130" t="s">
        <v>69</v>
      </c>
      <c r="D13" s="1131"/>
      <c r="E13" s="703">
        <v>41943</v>
      </c>
      <c r="F13" s="704" t="s">
        <v>1007</v>
      </c>
      <c r="G13" s="704" t="s">
        <v>699</v>
      </c>
      <c r="H13" s="705" t="s">
        <v>70</v>
      </c>
      <c r="I13" s="703">
        <v>42035</v>
      </c>
      <c r="J13" s="704" t="s">
        <v>1008</v>
      </c>
      <c r="K13" s="704" t="s">
        <v>125</v>
      </c>
      <c r="L13" s="704" t="s">
        <v>70</v>
      </c>
      <c r="M13" s="704" t="s">
        <v>126</v>
      </c>
      <c r="N13" s="704" t="s">
        <v>99</v>
      </c>
      <c r="O13" s="704" t="s">
        <v>1009</v>
      </c>
      <c r="P13" s="704" t="s">
        <v>1011</v>
      </c>
      <c r="Q13" s="704" t="s">
        <v>1012</v>
      </c>
      <c r="R13" s="704" t="s">
        <v>70</v>
      </c>
      <c r="S13" s="704" t="s">
        <v>1014</v>
      </c>
      <c r="T13" s="716" t="s">
        <v>51</v>
      </c>
      <c r="Z13" s="152"/>
      <c r="AA13" s="152"/>
    </row>
    <row r="14" spans="1:27" ht="17.25" customHeight="1">
      <c r="A14" s="1132" t="s">
        <v>127</v>
      </c>
      <c r="B14" s="1133"/>
      <c r="C14" s="1134" t="s">
        <v>127</v>
      </c>
      <c r="D14" s="1135"/>
      <c r="E14" s="717">
        <v>300000</v>
      </c>
      <c r="F14" s="717">
        <v>300000</v>
      </c>
      <c r="G14" s="717">
        <v>300000</v>
      </c>
      <c r="H14" s="717">
        <v>1555555</v>
      </c>
      <c r="I14" s="717">
        <v>300000</v>
      </c>
      <c r="J14" s="717">
        <v>300000</v>
      </c>
      <c r="K14" s="717">
        <v>300000</v>
      </c>
      <c r="L14" s="717">
        <v>200000</v>
      </c>
      <c r="M14" s="717">
        <v>320000</v>
      </c>
      <c r="N14" s="717">
        <v>320000</v>
      </c>
      <c r="O14" s="717">
        <v>320000</v>
      </c>
      <c r="P14" s="717">
        <v>320000</v>
      </c>
      <c r="Q14" s="717">
        <v>320000</v>
      </c>
      <c r="R14" s="717">
        <v>250000</v>
      </c>
      <c r="S14" s="717">
        <v>320000</v>
      </c>
      <c r="T14" s="718">
        <f>SUM(E14:S14)</f>
        <v>5725555</v>
      </c>
      <c r="U14" s="55"/>
      <c r="V14" s="55"/>
      <c r="Z14" s="207"/>
      <c r="AA14" s="207"/>
    </row>
    <row r="15" spans="1:27" ht="17.25" customHeight="1">
      <c r="A15" s="1136" t="s">
        <v>71</v>
      </c>
      <c r="B15" s="1137"/>
      <c r="C15" s="1138" t="s">
        <v>71</v>
      </c>
      <c r="D15" s="1139"/>
      <c r="E15" s="213">
        <v>10000</v>
      </c>
      <c r="F15" s="213">
        <v>10000</v>
      </c>
      <c r="G15" s="213">
        <v>10000</v>
      </c>
      <c r="H15" s="213"/>
      <c r="I15" s="213">
        <v>10000</v>
      </c>
      <c r="J15" s="213">
        <v>10000</v>
      </c>
      <c r="K15" s="213">
        <v>10000</v>
      </c>
      <c r="L15" s="213"/>
      <c r="M15" s="719">
        <v>10000</v>
      </c>
      <c r="N15" s="719">
        <v>10000</v>
      </c>
      <c r="O15" s="719">
        <v>10000</v>
      </c>
      <c r="P15" s="719">
        <v>10000</v>
      </c>
      <c r="Q15" s="719">
        <v>10000</v>
      </c>
      <c r="R15" s="213"/>
      <c r="S15" s="719">
        <v>10000</v>
      </c>
      <c r="T15" s="720">
        <f aca="true" t="shared" si="0" ref="T15:T25">SUM(E15:S15)</f>
        <v>120000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t="s">
        <v>73</v>
      </c>
      <c r="D17" s="1139"/>
      <c r="E17" s="213">
        <v>7000</v>
      </c>
      <c r="F17" s="213">
        <v>7000</v>
      </c>
      <c r="G17" s="213">
        <v>7000</v>
      </c>
      <c r="H17" s="213"/>
      <c r="I17" s="213">
        <v>7000</v>
      </c>
      <c r="J17" s="213">
        <v>7000</v>
      </c>
      <c r="K17" s="213">
        <v>7000</v>
      </c>
      <c r="L17" s="213"/>
      <c r="M17" s="719">
        <v>7000</v>
      </c>
      <c r="N17" s="719">
        <v>7000</v>
      </c>
      <c r="O17" s="719">
        <v>7000</v>
      </c>
      <c r="P17" s="719">
        <v>7000</v>
      </c>
      <c r="Q17" s="719">
        <v>7000</v>
      </c>
      <c r="R17" s="213"/>
      <c r="S17" s="719">
        <v>7000</v>
      </c>
      <c r="T17" s="720">
        <f t="shared" si="0"/>
        <v>84000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317000</v>
      </c>
      <c r="F26" s="723">
        <f t="shared" si="1"/>
        <v>317000</v>
      </c>
      <c r="G26" s="723">
        <f t="shared" si="1"/>
        <v>317000</v>
      </c>
      <c r="H26" s="724">
        <f t="shared" si="1"/>
        <v>1555555</v>
      </c>
      <c r="I26" s="723">
        <f t="shared" si="1"/>
        <v>317000</v>
      </c>
      <c r="J26" s="723">
        <f t="shared" si="1"/>
        <v>317000</v>
      </c>
      <c r="K26" s="723">
        <f t="shared" si="1"/>
        <v>317000</v>
      </c>
      <c r="L26" s="724">
        <f t="shared" si="1"/>
        <v>200000</v>
      </c>
      <c r="M26" s="723">
        <f t="shared" si="1"/>
        <v>337000</v>
      </c>
      <c r="N26" s="723">
        <f t="shared" si="1"/>
        <v>337000</v>
      </c>
      <c r="O26" s="723">
        <f t="shared" si="1"/>
        <v>337000</v>
      </c>
      <c r="P26" s="723">
        <f t="shared" si="1"/>
        <v>337000</v>
      </c>
      <c r="Q26" s="723">
        <f t="shared" si="1"/>
        <v>337000</v>
      </c>
      <c r="R26" s="724">
        <f t="shared" si="1"/>
        <v>250000</v>
      </c>
      <c r="S26" s="723">
        <f t="shared" si="1"/>
        <v>337000</v>
      </c>
      <c r="T26" s="725">
        <f>SUM(E26:S26)</f>
        <v>5929555</v>
      </c>
      <c r="U26" s="55"/>
      <c r="V26" s="55"/>
      <c r="Z26" s="216"/>
      <c r="AA26" s="216"/>
      <c r="AB26" s="7"/>
    </row>
    <row r="27" spans="1:27" ht="17.25" customHeight="1">
      <c r="A27" s="1147" t="s">
        <v>1016</v>
      </c>
      <c r="B27" s="1148"/>
      <c r="C27" s="1148"/>
      <c r="D27" s="1149"/>
      <c r="E27" s="215">
        <v>320000</v>
      </c>
      <c r="F27" s="215">
        <v>320000</v>
      </c>
      <c r="G27" s="215">
        <v>320000</v>
      </c>
      <c r="H27" s="214"/>
      <c r="I27" s="215">
        <v>320000</v>
      </c>
      <c r="J27" s="215">
        <v>320000</v>
      </c>
      <c r="K27" s="215">
        <v>320000</v>
      </c>
      <c r="L27" s="214"/>
      <c r="M27" s="215">
        <v>320000</v>
      </c>
      <c r="N27" s="215">
        <v>320000</v>
      </c>
      <c r="O27" s="215">
        <v>320000</v>
      </c>
      <c r="P27" s="215">
        <v>320000</v>
      </c>
      <c r="Q27" s="215">
        <v>320000</v>
      </c>
      <c r="R27" s="214"/>
      <c r="S27" s="215">
        <v>340000</v>
      </c>
      <c r="T27" s="726"/>
      <c r="U27" s="55"/>
      <c r="V27" s="55"/>
      <c r="Z27" s="210"/>
      <c r="AA27" s="210"/>
    </row>
    <row r="28" spans="1:27" ht="17.25" customHeight="1" thickBot="1">
      <c r="A28" s="1154" t="s">
        <v>1017</v>
      </c>
      <c r="B28" s="1155"/>
      <c r="C28" s="1155"/>
      <c r="D28" s="1156"/>
      <c r="E28" s="212">
        <v>320000</v>
      </c>
      <c r="F28" s="212">
        <v>320000</v>
      </c>
      <c r="G28" s="212">
        <v>320000</v>
      </c>
      <c r="H28" s="727"/>
      <c r="I28" s="212">
        <v>320000</v>
      </c>
      <c r="J28" s="212">
        <v>320000</v>
      </c>
      <c r="K28" s="212">
        <v>320000</v>
      </c>
      <c r="L28" s="727"/>
      <c r="M28" s="212">
        <v>320000</v>
      </c>
      <c r="N28" s="212">
        <v>320000</v>
      </c>
      <c r="O28" s="212">
        <v>320000</v>
      </c>
      <c r="P28" s="212">
        <v>320000</v>
      </c>
      <c r="Q28" s="212">
        <v>320000</v>
      </c>
      <c r="R28" s="727"/>
      <c r="S28" s="212">
        <v>340000</v>
      </c>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1007</v>
      </c>
      <c r="G31" s="704" t="s">
        <v>699</v>
      </c>
      <c r="H31" s="705" t="s">
        <v>70</v>
      </c>
      <c r="I31" s="703">
        <v>42035</v>
      </c>
      <c r="J31" s="704" t="s">
        <v>1008</v>
      </c>
      <c r="K31" s="704" t="s">
        <v>125</v>
      </c>
      <c r="L31" s="704" t="s">
        <v>70</v>
      </c>
      <c r="M31" s="704" t="s">
        <v>126</v>
      </c>
      <c r="N31" s="704" t="s">
        <v>99</v>
      </c>
      <c r="O31" s="704" t="s">
        <v>1009</v>
      </c>
      <c r="P31" s="704" t="s">
        <v>1011</v>
      </c>
      <c r="Q31" s="704" t="s">
        <v>1012</v>
      </c>
      <c r="R31" s="704" t="s">
        <v>70</v>
      </c>
      <c r="S31" s="704" t="s">
        <v>1014</v>
      </c>
      <c r="T31" s="731" t="s">
        <v>51</v>
      </c>
      <c r="Z31" s="152"/>
      <c r="AA31" s="152"/>
    </row>
    <row r="32" spans="1:27" ht="17.25" customHeight="1" thickBot="1">
      <c r="A32" s="1152" t="s">
        <v>119</v>
      </c>
      <c r="B32" s="1153"/>
      <c r="C32" s="342" t="s">
        <v>82</v>
      </c>
      <c r="D32" s="732">
        <v>49.85</v>
      </c>
      <c r="E32" s="615">
        <f aca="true" t="shared" si="2" ref="E32:G33">IF(E$27=0,"",ROUND(E$27*$D32/1000,0))</f>
        <v>15952</v>
      </c>
      <c r="F32" s="615">
        <f t="shared" si="2"/>
        <v>15952</v>
      </c>
      <c r="G32" s="615">
        <f t="shared" si="2"/>
        <v>15952</v>
      </c>
      <c r="H32" s="680">
        <f>IF(H26=0,"",ROUND((ROUNDDOWN(H26,-3)*$D$32/1000),0))</f>
        <v>77517</v>
      </c>
      <c r="I32" s="615">
        <f aca="true" t="shared" si="3" ref="I32:K34">IF(I$27=0,"",ROUND(I$27*$D32/1000,0))</f>
        <v>15952</v>
      </c>
      <c r="J32" s="615">
        <f t="shared" si="3"/>
        <v>15952</v>
      </c>
      <c r="K32" s="615">
        <f t="shared" si="3"/>
        <v>15952</v>
      </c>
      <c r="L32" s="680">
        <f>IF(L26=0,"",ROUND((ROUNDDOWN(L26,-3)*$D$32/1000),0))</f>
        <v>9970</v>
      </c>
      <c r="M32" s="615">
        <f aca="true" t="shared" si="4" ref="M32:Q33">IF(M$27=0,"",ROUND(M$27*$D32/1000,0))</f>
        <v>15952</v>
      </c>
      <c r="N32" s="615">
        <f t="shared" si="4"/>
        <v>15952</v>
      </c>
      <c r="O32" s="615">
        <f t="shared" si="4"/>
        <v>15952</v>
      </c>
      <c r="P32" s="615">
        <f t="shared" si="4"/>
        <v>15952</v>
      </c>
      <c r="Q32" s="615">
        <f t="shared" si="4"/>
        <v>15952</v>
      </c>
      <c r="R32" s="680">
        <f>IF(R26=0,"",ROUND((ROUNDDOWN(R26,-3)*$D$32/1000),0))</f>
        <v>12463</v>
      </c>
      <c r="S32" s="615">
        <f>IF(S$27=0,"",ROUND(S$27*$D32/1000,0))</f>
        <v>16949</v>
      </c>
      <c r="T32" s="681">
        <f aca="true" t="shared" si="5" ref="T32:T45">SUM(E32:S32)</f>
        <v>292371</v>
      </c>
      <c r="Z32" s="207"/>
      <c r="AA32" s="207"/>
    </row>
    <row r="33" spans="1:27" ht="17.25" customHeight="1" thickBot="1">
      <c r="A33" s="1157" t="s">
        <v>81</v>
      </c>
      <c r="B33" s="1158"/>
      <c r="C33" s="342" t="s">
        <v>82</v>
      </c>
      <c r="D33" s="732">
        <v>0</v>
      </c>
      <c r="E33" s="616">
        <f t="shared" si="2"/>
        <v>0</v>
      </c>
      <c r="F33" s="616">
        <f t="shared" si="2"/>
        <v>0</v>
      </c>
      <c r="G33" s="616">
        <f t="shared" si="2"/>
        <v>0</v>
      </c>
      <c r="H33" s="682">
        <f>IF(H$26=0,"",ROUND((ROUNDDOWN(H$26,-3)*$D33/1000),0))</f>
        <v>0</v>
      </c>
      <c r="I33" s="616">
        <f t="shared" si="3"/>
        <v>0</v>
      </c>
      <c r="J33" s="616">
        <f t="shared" si="3"/>
        <v>0</v>
      </c>
      <c r="K33" s="616">
        <f t="shared" si="3"/>
        <v>0</v>
      </c>
      <c r="L33" s="682">
        <f>IF(L$26=0,"",ROUND((ROUNDDOWN(L$26,-3)*$D33/1000),0))</f>
        <v>0</v>
      </c>
      <c r="M33" s="616">
        <f t="shared" si="4"/>
        <v>0</v>
      </c>
      <c r="N33" s="616">
        <f t="shared" si="4"/>
        <v>0</v>
      </c>
      <c r="O33" s="616">
        <f t="shared" si="4"/>
        <v>0</v>
      </c>
      <c r="P33" s="616">
        <f t="shared" si="4"/>
        <v>0</v>
      </c>
      <c r="Q33" s="616">
        <f t="shared" si="4"/>
        <v>0</v>
      </c>
      <c r="R33" s="682">
        <f>IF(R$26=0,"",ROUND((ROUNDDOWN(R$26,-3)*$D33/1000),0))</f>
        <v>0</v>
      </c>
      <c r="S33" s="616">
        <f>IF(S$27=0,"",ROUND(S$27*$D33/1000,0))</f>
        <v>0</v>
      </c>
      <c r="T33" s="683">
        <f t="shared" si="5"/>
        <v>0</v>
      </c>
      <c r="Z33" s="207"/>
      <c r="AA33" s="207"/>
    </row>
    <row r="34" spans="1:27" s="203" customFormat="1" ht="17.25" customHeight="1" thickBot="1">
      <c r="A34" s="1157" t="s">
        <v>142</v>
      </c>
      <c r="B34" s="1158"/>
      <c r="C34" s="342" t="s">
        <v>82</v>
      </c>
      <c r="D34" s="732">
        <v>8.6</v>
      </c>
      <c r="E34" s="902">
        <v>0</v>
      </c>
      <c r="F34" s="902">
        <v>0</v>
      </c>
      <c r="G34" s="903">
        <f>IF(G$27=0,"",ROUND(G$27*$D34/1000,0))</f>
        <v>2752</v>
      </c>
      <c r="H34" s="903">
        <f>IF(H$26=0,"",ROUND((ROUNDDOWN(H$26,-3)*$D34/1000),0))</f>
        <v>13373</v>
      </c>
      <c r="I34" s="903">
        <f t="shared" si="3"/>
        <v>2752</v>
      </c>
      <c r="J34" s="617">
        <f t="shared" si="3"/>
        <v>2752</v>
      </c>
      <c r="K34" s="617">
        <f t="shared" si="3"/>
        <v>2752</v>
      </c>
      <c r="L34" s="682">
        <f>IF(L$26=0,"",ROUND((ROUNDDOWN(L$26,-3)*$D34/1000),0))</f>
        <v>1720</v>
      </c>
      <c r="M34" s="684" t="s">
        <v>1018</v>
      </c>
      <c r="N34" s="685" t="s">
        <v>1018</v>
      </c>
      <c r="O34" s="685" t="s">
        <v>1018</v>
      </c>
      <c r="P34" s="684" t="s">
        <v>1018</v>
      </c>
      <c r="Q34" s="685" t="s">
        <v>1018</v>
      </c>
      <c r="R34" s="685" t="s">
        <v>1018</v>
      </c>
      <c r="S34" s="685" t="s">
        <v>1018</v>
      </c>
      <c r="T34" s="686">
        <f>SUM(E34:S34)</f>
        <v>26101</v>
      </c>
      <c r="Z34" s="205"/>
      <c r="AA34" s="205"/>
    </row>
    <row r="35" spans="1:27" s="203" customFormat="1" ht="17.25" customHeight="1" thickBot="1">
      <c r="A35" s="1159" t="s">
        <v>703</v>
      </c>
      <c r="B35" s="1160"/>
      <c r="C35" s="342" t="s">
        <v>82</v>
      </c>
      <c r="D35" s="732">
        <v>7.9</v>
      </c>
      <c r="E35" s="687" t="s">
        <v>1018</v>
      </c>
      <c r="F35" s="684" t="s">
        <v>1018</v>
      </c>
      <c r="G35" s="685" t="s">
        <v>1018</v>
      </c>
      <c r="H35" s="685" t="s">
        <v>1018</v>
      </c>
      <c r="I35" s="685" t="s">
        <v>1018</v>
      </c>
      <c r="J35" s="685" t="s">
        <v>1018</v>
      </c>
      <c r="K35" s="689" t="s">
        <v>1018</v>
      </c>
      <c r="L35" s="685" t="s">
        <v>1018</v>
      </c>
      <c r="M35" s="690">
        <f>IF(M$27=0,"",ROUND(M$27*$D35/1000,0))</f>
        <v>2528</v>
      </c>
      <c r="N35" s="690">
        <f>IF(N$27=0,"",ROUND(N$27*$D35/1000,0))</f>
        <v>2528</v>
      </c>
      <c r="O35" s="690">
        <f>IF(O$27=0,"",ROUND(O$27*$D35/1000,0))</f>
        <v>2528</v>
      </c>
      <c r="P35" s="690">
        <f>IF(P$27=0,"",ROUND(P$27*$D35/1000,0))</f>
        <v>2528</v>
      </c>
      <c r="Q35" s="690">
        <f>IF(Q$27=0,"",ROUND(Q$27*$D35/1000,0))</f>
        <v>2528</v>
      </c>
      <c r="R35" s="682">
        <f>IF(R$26=0,"",ROUND((ROUNDDOWN(R$26,-3)*$D35/1000),0))</f>
        <v>1975</v>
      </c>
      <c r="S35" s="690">
        <f>IF(S$27=0,"",ROUND(S$27*$D35/1000,0))</f>
        <v>2686</v>
      </c>
      <c r="T35" s="683">
        <f t="shared" si="5"/>
        <v>17301</v>
      </c>
      <c r="Z35" s="205"/>
      <c r="AA35" s="205"/>
    </row>
    <row r="36" spans="1:27" s="203" customFormat="1" ht="17.25" customHeight="1" thickBot="1">
      <c r="A36" s="1161" t="s">
        <v>1019</v>
      </c>
      <c r="B36" s="1162"/>
      <c r="C36" s="343" t="s">
        <v>82</v>
      </c>
      <c r="D36" s="733">
        <v>87.37</v>
      </c>
      <c r="E36" s="214">
        <f>IF(E$28=0,"",ROUND(E$28*$D36/1000,0))</f>
        <v>27958</v>
      </c>
      <c r="F36" s="682">
        <f>IF(F$28=0,"",ROUND(F$28*$D36/1000,0))</f>
        <v>27958</v>
      </c>
      <c r="G36" s="682">
        <f>IF(G$28=0,"",ROUND(G$28*$D36/1000,0))</f>
        <v>27958</v>
      </c>
      <c r="H36" s="617">
        <f>IF(H26=0,"",ROUND((IF(ROUNDDOWN(H26,-3)&gt;1500000,1500000,ROUNDDOWN(H26,-3))*$D$36/1000),0))</f>
        <v>131055</v>
      </c>
      <c r="I36" s="682">
        <f>IF(I$28=0,"",ROUND(I$28*$D36/1000,0))</f>
        <v>27958</v>
      </c>
      <c r="J36" s="682">
        <f>IF(J$28=0,"",ROUND(J$28*$D36/1000,0))</f>
        <v>27958</v>
      </c>
      <c r="K36" s="682">
        <f>IF(K$28=0,"",ROUND(K$28*$D36/1000,0))</f>
        <v>27958</v>
      </c>
      <c r="L36" s="617">
        <f>IF(L26=0,"",ROUND((IF(ROUNDDOWN(L26,-3)&gt;1500000,1500000,ROUNDDOWN(L26,-3))*$D$36/1000),0))</f>
        <v>17474</v>
      </c>
      <c r="M36" s="616">
        <f>IF(M$28=0,"",ROUND(M$28*$D36/1000,0))</f>
        <v>27958</v>
      </c>
      <c r="N36" s="616">
        <f>IF(N$28=0,"",ROUND(N$28*$D36/1000,0))</f>
        <v>27958</v>
      </c>
      <c r="O36" s="616">
        <f>IF(O$28=0,"",ROUND(O$28*$D36/1000,0))</f>
        <v>27958</v>
      </c>
      <c r="P36" s="616">
        <f>IF(P$28=0,"",ROUND(P$28*$D36/1000,0))</f>
        <v>27958</v>
      </c>
      <c r="Q36" s="616">
        <f>IF(Q$28=0,"",ROUND(Q$28*$D36/1000,0))</f>
        <v>27958</v>
      </c>
      <c r="R36" s="617">
        <f>IF(R26=0,"",ROUND((IF(ROUNDDOWN(R26,-3)&gt;1500000,1500000,ROUNDDOWN(R26,-3))*$D$36/1000),0))</f>
        <v>21843</v>
      </c>
      <c r="S36" s="685" t="s">
        <v>1018</v>
      </c>
      <c r="T36" s="683">
        <f t="shared" si="5"/>
        <v>477910</v>
      </c>
      <c r="Z36" s="205"/>
      <c r="AA36" s="205"/>
    </row>
    <row r="37" spans="1:27" s="203" customFormat="1" ht="17.25" customHeight="1" thickBot="1">
      <c r="A37" s="1161" t="s">
        <v>1020</v>
      </c>
      <c r="B37" s="1162"/>
      <c r="C37" s="343" t="s">
        <v>82</v>
      </c>
      <c r="D37" s="733">
        <v>89.14</v>
      </c>
      <c r="E37" s="687" t="s">
        <v>1018</v>
      </c>
      <c r="F37" s="684" t="s">
        <v>1018</v>
      </c>
      <c r="G37" s="685" t="s">
        <v>1018</v>
      </c>
      <c r="H37" s="685" t="s">
        <v>1018</v>
      </c>
      <c r="I37" s="685" t="s">
        <v>1018</v>
      </c>
      <c r="J37" s="685" t="s">
        <v>1018</v>
      </c>
      <c r="K37" s="689" t="s">
        <v>1018</v>
      </c>
      <c r="L37" s="685" t="s">
        <v>1018</v>
      </c>
      <c r="M37" s="684" t="s">
        <v>1018</v>
      </c>
      <c r="N37" s="685" t="s">
        <v>1018</v>
      </c>
      <c r="O37" s="685" t="s">
        <v>1018</v>
      </c>
      <c r="P37" s="684" t="s">
        <v>1018</v>
      </c>
      <c r="Q37" s="685" t="s">
        <v>1018</v>
      </c>
      <c r="R37" s="685" t="s">
        <v>1018</v>
      </c>
      <c r="S37" s="616">
        <f>IF(S$28=0,"",ROUND(S$28*$D37/1000,0))</f>
        <v>30308</v>
      </c>
      <c r="T37" s="683">
        <f t="shared" si="5"/>
        <v>30308</v>
      </c>
      <c r="Z37" s="205"/>
      <c r="AA37" s="205"/>
    </row>
    <row r="38" spans="1:27" s="203" customFormat="1" ht="17.25" customHeight="1" thickBot="1">
      <c r="A38" s="1159" t="s">
        <v>702</v>
      </c>
      <c r="B38" s="1160"/>
      <c r="C38" s="343" t="s">
        <v>82</v>
      </c>
      <c r="D38" s="732">
        <v>1.5</v>
      </c>
      <c r="E38" s="617">
        <f aca="true" t="shared" si="6" ref="E38:G40">IF(E$28=0,"",ROUND(E$28*$D38/1000,0))</f>
        <v>480</v>
      </c>
      <c r="F38" s="617">
        <f t="shared" si="6"/>
        <v>480</v>
      </c>
      <c r="G38" s="617">
        <f t="shared" si="6"/>
        <v>480</v>
      </c>
      <c r="H38" s="617">
        <f>IF(H26=0,"",ROUND((IF(ROUNDDOWN(H26,-3)&gt;1500000,1500000,ROUNDDOWN(H26,-3))*$D$38/1000),0))</f>
        <v>2250</v>
      </c>
      <c r="I38" s="617">
        <f aca="true" t="shared" si="7" ref="I38:K40">IF(I$28=0,"",ROUND(I$28*$D38/1000,0))</f>
        <v>480</v>
      </c>
      <c r="J38" s="617">
        <f t="shared" si="7"/>
        <v>480</v>
      </c>
      <c r="K38" s="617">
        <f t="shared" si="7"/>
        <v>480</v>
      </c>
      <c r="L38" s="617">
        <f>IF(L$26=0,"",ROUND((IF(ROUNDDOWN(L$26,-3)&gt;1500000,1500000,ROUNDDOWN(L$26,-3))*$D38/1000),0))</f>
        <v>300</v>
      </c>
      <c r="M38" s="617">
        <f aca="true" t="shared" si="8" ref="M38:Q40">IF(M$28=0,"",ROUND(M$28*$D38/1000,0))</f>
        <v>480</v>
      </c>
      <c r="N38" s="617">
        <f t="shared" si="8"/>
        <v>480</v>
      </c>
      <c r="O38" s="617">
        <f t="shared" si="8"/>
        <v>480</v>
      </c>
      <c r="P38" s="617">
        <f t="shared" si="8"/>
        <v>480</v>
      </c>
      <c r="Q38" s="617">
        <f t="shared" si="8"/>
        <v>480</v>
      </c>
      <c r="R38" s="617">
        <f>IF(R$26=0,"",ROUND((IF(ROUNDDOWN(R$26,-3)&gt;1500000,1500000,ROUNDDOWN(R$26,-3))*$D38/1000),0))</f>
        <v>375</v>
      </c>
      <c r="S38" s="617">
        <f>IF(S$28=0,"",ROUND(S$28*$D38/1000,0))</f>
        <v>510</v>
      </c>
      <c r="T38" s="683">
        <f t="shared" si="5"/>
        <v>8715</v>
      </c>
      <c r="Z38" s="205"/>
      <c r="AA38" s="205"/>
    </row>
    <row r="39" spans="1:27" s="203" customFormat="1" ht="17.25" customHeight="1" thickBot="1">
      <c r="A39" s="1161" t="s">
        <v>639</v>
      </c>
      <c r="B39" s="1162"/>
      <c r="C39" s="206" t="s">
        <v>82</v>
      </c>
      <c r="D39" s="732">
        <v>0</v>
      </c>
      <c r="E39" s="617">
        <f t="shared" si="6"/>
        <v>0</v>
      </c>
      <c r="F39" s="617">
        <f t="shared" si="6"/>
        <v>0</v>
      </c>
      <c r="G39" s="617">
        <f t="shared" si="6"/>
        <v>0</v>
      </c>
      <c r="H39" s="687" t="s">
        <v>1018</v>
      </c>
      <c r="I39" s="617">
        <f t="shared" si="7"/>
        <v>0</v>
      </c>
      <c r="J39" s="617">
        <f t="shared" si="7"/>
        <v>0</v>
      </c>
      <c r="K39" s="617">
        <f t="shared" si="7"/>
        <v>0</v>
      </c>
      <c r="L39" s="687" t="s">
        <v>1018</v>
      </c>
      <c r="M39" s="617">
        <f t="shared" si="8"/>
        <v>0</v>
      </c>
      <c r="N39" s="617">
        <f t="shared" si="8"/>
        <v>0</v>
      </c>
      <c r="O39" s="617">
        <f t="shared" si="8"/>
        <v>0</v>
      </c>
      <c r="P39" s="617">
        <f t="shared" si="8"/>
        <v>0</v>
      </c>
      <c r="Q39" s="617">
        <f t="shared" si="8"/>
        <v>0</v>
      </c>
      <c r="R39" s="687" t="s">
        <v>1018</v>
      </c>
      <c r="S39" s="617">
        <f>IF(S$28=0,"",ROUND(S$28*$D39/1000,0))</f>
        <v>0</v>
      </c>
      <c r="T39" s="683">
        <f t="shared" si="5"/>
        <v>0</v>
      </c>
      <c r="Z39" s="205"/>
      <c r="AA39" s="205"/>
    </row>
    <row r="40" spans="1:27" s="203" customFormat="1" ht="17.25" customHeight="1" thickBot="1">
      <c r="A40" s="1161" t="s">
        <v>639</v>
      </c>
      <c r="B40" s="1162"/>
      <c r="C40" s="206" t="s">
        <v>82</v>
      </c>
      <c r="D40" s="732">
        <v>0</v>
      </c>
      <c r="E40" s="617">
        <f t="shared" si="6"/>
        <v>0</v>
      </c>
      <c r="F40" s="617">
        <f t="shared" si="6"/>
        <v>0</v>
      </c>
      <c r="G40" s="617">
        <f t="shared" si="6"/>
        <v>0</v>
      </c>
      <c r="H40" s="687" t="s">
        <v>1018</v>
      </c>
      <c r="I40" s="617">
        <f t="shared" si="7"/>
        <v>0</v>
      </c>
      <c r="J40" s="617">
        <f t="shared" si="7"/>
        <v>0</v>
      </c>
      <c r="K40" s="617">
        <f t="shared" si="7"/>
        <v>0</v>
      </c>
      <c r="L40" s="687" t="s">
        <v>1018</v>
      </c>
      <c r="M40" s="617">
        <f t="shared" si="8"/>
        <v>0</v>
      </c>
      <c r="N40" s="617">
        <f t="shared" si="8"/>
        <v>0</v>
      </c>
      <c r="O40" s="617">
        <f t="shared" si="8"/>
        <v>0</v>
      </c>
      <c r="P40" s="617">
        <f t="shared" si="8"/>
        <v>0</v>
      </c>
      <c r="Q40" s="617">
        <f t="shared" si="8"/>
        <v>0</v>
      </c>
      <c r="R40" s="687" t="s">
        <v>1018</v>
      </c>
      <c r="S40" s="617">
        <f>IF(S$28=0,"",ROUND(S$28*$D40/1000,0))</f>
        <v>0</v>
      </c>
      <c r="T40" s="683">
        <f t="shared" si="5"/>
        <v>0</v>
      </c>
      <c r="Z40" s="205"/>
      <c r="AA40" s="205"/>
    </row>
    <row r="41" spans="1:27" s="203" customFormat="1" ht="17.25" customHeight="1" thickBot="1">
      <c r="A41" s="1161" t="s">
        <v>638</v>
      </c>
      <c r="B41" s="1162"/>
      <c r="C41" s="206" t="s">
        <v>82</v>
      </c>
      <c r="D41" s="732">
        <v>0</v>
      </c>
      <c r="E41" s="687" t="s">
        <v>1018</v>
      </c>
      <c r="F41" s="692" t="s">
        <v>1018</v>
      </c>
      <c r="G41" s="687" t="s">
        <v>1018</v>
      </c>
      <c r="H41" s="691">
        <f>IF(H$26=0,"",ROUND((IF(ROUNDDOWN(H$26,-3)&gt;1500000,1500000,ROUNDDOWN(H$26,-3))*$D41/1000),0))</f>
        <v>0</v>
      </c>
      <c r="I41" s="687" t="s">
        <v>1018</v>
      </c>
      <c r="J41" s="687" t="s">
        <v>1018</v>
      </c>
      <c r="K41" s="688" t="s">
        <v>1018</v>
      </c>
      <c r="L41" s="617">
        <f>IF(L$26=0,"",ROUND((IF(ROUNDDOWN(L$26,-3)&gt;1500000,1500000,ROUNDDOWN(L$26,-3))*$D41/1000),0))</f>
        <v>0</v>
      </c>
      <c r="M41" s="693" t="s">
        <v>1018</v>
      </c>
      <c r="N41" s="694" t="s">
        <v>1018</v>
      </c>
      <c r="O41" s="694" t="s">
        <v>1018</v>
      </c>
      <c r="P41" s="693" t="s">
        <v>1018</v>
      </c>
      <c r="Q41" s="694" t="s">
        <v>1018</v>
      </c>
      <c r="R41" s="617">
        <f>IF(R$26=0,"",ROUND((IF(ROUNDDOWN(R$26,-3)&gt;1500000,1500000,ROUNDDOWN(R$26,-3))*$D41/1000),0))</f>
        <v>0</v>
      </c>
      <c r="S41" s="694" t="s">
        <v>1018</v>
      </c>
      <c r="T41" s="683">
        <f t="shared" si="5"/>
        <v>0</v>
      </c>
      <c r="Z41" s="205"/>
      <c r="AA41" s="205"/>
    </row>
    <row r="42" spans="1:27" s="203" customFormat="1" ht="17.25" customHeight="1" thickBot="1">
      <c r="A42" s="1161" t="s">
        <v>638</v>
      </c>
      <c r="B42" s="1162"/>
      <c r="C42" s="206" t="s">
        <v>82</v>
      </c>
      <c r="D42" s="732">
        <v>0</v>
      </c>
      <c r="E42" s="687" t="s">
        <v>1018</v>
      </c>
      <c r="F42" s="692" t="s">
        <v>1018</v>
      </c>
      <c r="G42" s="687" t="s">
        <v>1018</v>
      </c>
      <c r="H42" s="691">
        <f>IF(H$26=0,"",ROUND((IF(ROUNDDOWN(H$26,-3)&gt;1500000,1500000,ROUNDDOWN(H$26,-3))*$D42/1000),0))</f>
        <v>0</v>
      </c>
      <c r="I42" s="687" t="s">
        <v>1018</v>
      </c>
      <c r="J42" s="687" t="s">
        <v>1018</v>
      </c>
      <c r="K42" s="688" t="s">
        <v>1018</v>
      </c>
      <c r="L42" s="617">
        <f>IF(L$26=0,"",ROUND((IF(ROUNDDOWN(L$26,-3)&gt;1500000,1500000,ROUNDDOWN(L$26,-3))*$D42/1000),0))</f>
        <v>0</v>
      </c>
      <c r="M42" s="693" t="s">
        <v>1018</v>
      </c>
      <c r="N42" s="694" t="s">
        <v>1018</v>
      </c>
      <c r="O42" s="694" t="s">
        <v>1018</v>
      </c>
      <c r="P42" s="693" t="s">
        <v>1018</v>
      </c>
      <c r="Q42" s="694" t="s">
        <v>1018</v>
      </c>
      <c r="R42" s="617">
        <f>IF(R$26=0,"",ROUND((IF(ROUNDDOWN(R$26,-3)&gt;1500000,1500000,ROUNDDOWN(R$26,-3))*$D42/1000),0))</f>
        <v>0</v>
      </c>
      <c r="S42" s="694" t="s">
        <v>1018</v>
      </c>
      <c r="T42" s="683">
        <f t="shared" si="5"/>
        <v>0</v>
      </c>
      <c r="Z42" s="205"/>
      <c r="AA42" s="205"/>
    </row>
    <row r="43" spans="1:27" s="203" customFormat="1" ht="17.25" customHeight="1" thickBot="1">
      <c r="A43" s="1159" t="s">
        <v>83</v>
      </c>
      <c r="B43" s="1160"/>
      <c r="C43" s="341" t="s">
        <v>82</v>
      </c>
      <c r="D43" s="732">
        <v>8.5</v>
      </c>
      <c r="E43" s="617">
        <f>IF(E$26=0,"",ROUND(E$26*$D43/1000,0))</f>
        <v>2695</v>
      </c>
      <c r="F43" s="617">
        <f aca="true" t="shared" si="9" ref="F43:S43">IF(F$26=0,"",ROUND(F$26*$D43/1000,0))</f>
        <v>2695</v>
      </c>
      <c r="G43" s="617">
        <f t="shared" si="9"/>
        <v>2695</v>
      </c>
      <c r="H43" s="617">
        <f t="shared" si="9"/>
        <v>13222</v>
      </c>
      <c r="I43" s="617">
        <f t="shared" si="9"/>
        <v>2695</v>
      </c>
      <c r="J43" s="617">
        <f t="shared" si="9"/>
        <v>2695</v>
      </c>
      <c r="K43" s="691">
        <f t="shared" si="9"/>
        <v>2695</v>
      </c>
      <c r="L43" s="617">
        <f t="shared" si="9"/>
        <v>1700</v>
      </c>
      <c r="M43" s="690">
        <f t="shared" si="9"/>
        <v>2865</v>
      </c>
      <c r="N43" s="617">
        <f t="shared" si="9"/>
        <v>2865</v>
      </c>
      <c r="O43" s="617">
        <f t="shared" si="9"/>
        <v>2865</v>
      </c>
      <c r="P43" s="690">
        <f t="shared" si="9"/>
        <v>2865</v>
      </c>
      <c r="Q43" s="617">
        <f t="shared" si="9"/>
        <v>2865</v>
      </c>
      <c r="R43" s="617">
        <f t="shared" si="9"/>
        <v>2125</v>
      </c>
      <c r="S43" s="617">
        <f t="shared" si="9"/>
        <v>2865</v>
      </c>
      <c r="T43" s="683">
        <f t="shared" si="5"/>
        <v>50407</v>
      </c>
      <c r="Z43" s="205"/>
      <c r="AA43" s="205"/>
    </row>
    <row r="44" spans="1:27" s="203" customFormat="1" ht="17.25" customHeight="1" thickBot="1">
      <c r="A44" s="1159" t="s">
        <v>84</v>
      </c>
      <c r="B44" s="1160"/>
      <c r="C44" s="341" t="s">
        <v>82</v>
      </c>
      <c r="D44" s="732">
        <v>5</v>
      </c>
      <c r="E44" s="617">
        <f aca="true" t="shared" si="10" ref="E44:S45">IF(E$26=0,"",ROUNDDOWN(E$26*$D44/1000,0))</f>
        <v>1585</v>
      </c>
      <c r="F44" s="617">
        <f t="shared" si="10"/>
        <v>1585</v>
      </c>
      <c r="G44" s="617">
        <f t="shared" si="10"/>
        <v>1585</v>
      </c>
      <c r="H44" s="617">
        <f t="shared" si="10"/>
        <v>7777</v>
      </c>
      <c r="I44" s="617">
        <f t="shared" si="10"/>
        <v>1585</v>
      </c>
      <c r="J44" s="617">
        <f t="shared" si="10"/>
        <v>1585</v>
      </c>
      <c r="K44" s="691">
        <f t="shared" si="10"/>
        <v>1585</v>
      </c>
      <c r="L44" s="617">
        <f t="shared" si="10"/>
        <v>1000</v>
      </c>
      <c r="M44" s="690">
        <f t="shared" si="10"/>
        <v>1685</v>
      </c>
      <c r="N44" s="617">
        <f t="shared" si="10"/>
        <v>1685</v>
      </c>
      <c r="O44" s="617">
        <f t="shared" si="10"/>
        <v>1685</v>
      </c>
      <c r="P44" s="690">
        <f t="shared" si="10"/>
        <v>1685</v>
      </c>
      <c r="Q44" s="617">
        <f t="shared" si="10"/>
        <v>1685</v>
      </c>
      <c r="R44" s="617">
        <f t="shared" si="10"/>
        <v>1250</v>
      </c>
      <c r="S44" s="617">
        <f t="shared" si="10"/>
        <v>1685</v>
      </c>
      <c r="T44" s="683">
        <f t="shared" si="5"/>
        <v>29647</v>
      </c>
      <c r="Z44" s="205"/>
      <c r="AA44" s="205"/>
    </row>
    <row r="45" spans="1:27" s="203" customFormat="1" ht="17.25" customHeight="1" thickBot="1">
      <c r="A45" s="1159" t="s">
        <v>84</v>
      </c>
      <c r="B45" s="1160"/>
      <c r="C45" s="341" t="s">
        <v>82</v>
      </c>
      <c r="D45" s="732">
        <v>0</v>
      </c>
      <c r="E45" s="617">
        <f t="shared" si="10"/>
        <v>0</v>
      </c>
      <c r="F45" s="617">
        <f t="shared" si="10"/>
        <v>0</v>
      </c>
      <c r="G45" s="617">
        <f t="shared" si="10"/>
        <v>0</v>
      </c>
      <c r="H45" s="617">
        <f t="shared" si="10"/>
        <v>0</v>
      </c>
      <c r="I45" s="617">
        <f t="shared" si="10"/>
        <v>0</v>
      </c>
      <c r="J45" s="617">
        <f t="shared" si="10"/>
        <v>0</v>
      </c>
      <c r="K45" s="617">
        <f t="shared" si="10"/>
        <v>0</v>
      </c>
      <c r="L45" s="617">
        <f t="shared" si="10"/>
        <v>0</v>
      </c>
      <c r="M45" s="690">
        <f t="shared" si="10"/>
        <v>0</v>
      </c>
      <c r="N45" s="617">
        <f t="shared" si="10"/>
        <v>0</v>
      </c>
      <c r="O45" s="695">
        <f t="shared" si="10"/>
        <v>0</v>
      </c>
      <c r="P45" s="690">
        <f t="shared" si="10"/>
        <v>0</v>
      </c>
      <c r="Q45" s="617">
        <f t="shared" si="10"/>
        <v>0</v>
      </c>
      <c r="R45" s="617">
        <f t="shared" si="10"/>
        <v>0</v>
      </c>
      <c r="S45" s="695">
        <f t="shared" si="10"/>
        <v>0</v>
      </c>
      <c r="T45" s="696">
        <f t="shared" si="5"/>
        <v>0</v>
      </c>
      <c r="Z45" s="205"/>
      <c r="AA45" s="205"/>
    </row>
    <row r="46" spans="1:28" s="203" customFormat="1" ht="17.25" customHeight="1" thickBot="1">
      <c r="A46" s="1165" t="s">
        <v>85</v>
      </c>
      <c r="B46" s="1166"/>
      <c r="C46" s="901"/>
      <c r="D46" s="734"/>
      <c r="E46" s="735">
        <f aca="true" t="shared" si="11" ref="E46:S46">SUM(E32:E45)</f>
        <v>48670</v>
      </c>
      <c r="F46" s="735">
        <f t="shared" si="11"/>
        <v>48670</v>
      </c>
      <c r="G46" s="737">
        <f t="shared" si="11"/>
        <v>51422</v>
      </c>
      <c r="H46" s="735">
        <f t="shared" si="11"/>
        <v>245194</v>
      </c>
      <c r="I46" s="735">
        <f t="shared" si="11"/>
        <v>51422</v>
      </c>
      <c r="J46" s="735">
        <f t="shared" si="11"/>
        <v>51422</v>
      </c>
      <c r="K46" s="735">
        <f t="shared" si="11"/>
        <v>51422</v>
      </c>
      <c r="L46" s="736">
        <f t="shared" si="11"/>
        <v>32164</v>
      </c>
      <c r="M46" s="735">
        <f t="shared" si="11"/>
        <v>51468</v>
      </c>
      <c r="N46" s="737">
        <f t="shared" si="11"/>
        <v>51468</v>
      </c>
      <c r="O46" s="735">
        <f t="shared" si="11"/>
        <v>51468</v>
      </c>
      <c r="P46" s="735">
        <f t="shared" si="11"/>
        <v>51468</v>
      </c>
      <c r="Q46" s="737">
        <f t="shared" si="11"/>
        <v>51468</v>
      </c>
      <c r="R46" s="736">
        <f t="shared" si="11"/>
        <v>40031</v>
      </c>
      <c r="S46" s="735">
        <f t="shared" si="11"/>
        <v>55003</v>
      </c>
      <c r="T46" s="738">
        <f>SUM(T32:T45)</f>
        <v>932760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t="str">
        <f>IF(OR($G$26&gt;=1501000,$L$26&gt;=1501000,$P$26&gt;=150100,$L$26&gt;=1501000,$P$26&gt;=1501000),"標準賞与上限：月間150万円超のため150万円で計算","")</f>
        <v>標準賞与上限：月間150万円超のため150万円で計算</v>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668"/>
      <c r="Q49" s="1170" t="s">
        <v>87</v>
      </c>
      <c r="R49" s="1170"/>
      <c r="S49"/>
      <c r="T49"/>
    </row>
    <row r="50" spans="1:20" ht="29.25" customHeight="1" thickBot="1">
      <c r="A50" s="7"/>
      <c r="C50" s="21"/>
      <c r="D50" s="143"/>
      <c r="E50" s="143"/>
      <c r="F50" s="143"/>
      <c r="G50" s="143"/>
      <c r="H50" s="143"/>
      <c r="I50" s="143"/>
      <c r="J50" s="143"/>
      <c r="K50" s="21"/>
      <c r="L50" s="21"/>
      <c r="M50" s="668"/>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5929555</v>
      </c>
      <c r="H52" s="1184"/>
      <c r="I52" s="743" t="s">
        <v>837</v>
      </c>
      <c r="J52" s="1185">
        <f>T46</f>
        <v>932760</v>
      </c>
      <c r="K52" s="1186"/>
      <c r="L52" s="744" t="s">
        <v>665</v>
      </c>
      <c r="M52" s="92" t="s">
        <v>838</v>
      </c>
      <c r="N52" s="1179">
        <f>Q50</f>
        <v>1920</v>
      </c>
      <c r="O52" s="1180"/>
      <c r="P52" s="92" t="s">
        <v>839</v>
      </c>
      <c r="Q52" s="1163">
        <f>(ROUNDDOWN((G52+J52)/N52,0))</f>
        <v>3574</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3574</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669"/>
      <c r="N59" s="1178" t="str">
        <f>"部署・役職名　：　"&amp;'基本情報入力（使い方）'!C33</f>
        <v>部署・役職名　：　</v>
      </c>
      <c r="O59" s="1178"/>
      <c r="P59" s="1178"/>
      <c r="Q59" s="1178"/>
      <c r="R59" s="1178"/>
      <c r="S59" s="199" t="s">
        <v>835</v>
      </c>
      <c r="T59" s="199"/>
      <c r="U59" s="344"/>
      <c r="V59" s="344"/>
      <c r="Y59"/>
      <c r="Z59"/>
      <c r="AA59"/>
      <c r="AB59"/>
      <c r="AC59"/>
      <c r="AD59"/>
    </row>
    <row r="60" spans="25:30" ht="15" customHeight="1">
      <c r="Y60"/>
      <c r="Z60"/>
      <c r="AA60"/>
      <c r="AB60"/>
      <c r="AC60"/>
      <c r="AD60"/>
    </row>
    <row r="66" ht="13.5">
      <c r="Q66" s="3" t="s">
        <v>840</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OR('賃金台帳(1)'!#REF!&gt;=1501000,$G$26&gt;=1501000,$L$26&gt;=1501000,$P$26&gt;=1501000,'賃金台帳(1)'!#REF!&gt;=1501000)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2.xml><?xml version="1.0" encoding="utf-8"?>
<worksheet xmlns="http://schemas.openxmlformats.org/spreadsheetml/2006/main" xmlns:r="http://schemas.openxmlformats.org/officeDocument/2006/relationships">
  <sheetPr codeName="Sheet3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IF('対象者一覧表'!E11="","",'対象者一覧表'!E11)</f>
        <v>設計部</v>
      </c>
      <c r="C6" s="1126"/>
      <c r="D6" s="750">
        <f>IF('対象者一覧表'!F11="","",'対象者一覧表'!F11)</f>
      </c>
      <c r="G6" s="707"/>
      <c r="H6" s="707"/>
      <c r="I6" s="707"/>
      <c r="K6" s="90"/>
      <c r="L6" s="15" t="s">
        <v>833</v>
      </c>
      <c r="N6" s="93"/>
      <c r="O6" s="93"/>
      <c r="P6" s="93"/>
      <c r="Q6"/>
      <c r="R6"/>
      <c r="S6"/>
      <c r="T6"/>
      <c r="U6"/>
      <c r="V6"/>
      <c r="W6" s="707"/>
      <c r="X6" s="707"/>
    </row>
    <row r="7" spans="1:24" ht="18" customHeight="1">
      <c r="A7" s="752" t="s">
        <v>67</v>
      </c>
      <c r="B7" s="1126" t="str">
        <f>IF('対象者一覧表'!D11="","",'対象者一覧表'!D11)</f>
        <v>田中　丑男</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IF('対象者一覧表'!H11="","",'対象者一覧表'!H11)</f>
        <v>26865</v>
      </c>
      <c r="C8" s="1127"/>
      <c r="D8" s="754">
        <f>IF(B8="","",DATEDIF(B8,E13,"Y"))</f>
        <v>41</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1004</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1006</v>
      </c>
      <c r="I12"/>
      <c r="J12" s="217"/>
      <c r="L12" s="217" t="s">
        <v>1006</v>
      </c>
      <c r="R12" s="217" t="s">
        <v>1006</v>
      </c>
    </row>
    <row r="13" spans="1:27" ht="15" customHeight="1" thickBot="1">
      <c r="A13" s="1130" t="s">
        <v>700</v>
      </c>
      <c r="B13" s="1131"/>
      <c r="C13" s="1130" t="s">
        <v>69</v>
      </c>
      <c r="D13" s="1131"/>
      <c r="E13" s="703">
        <v>41943</v>
      </c>
      <c r="F13" s="704" t="s">
        <v>1007</v>
      </c>
      <c r="G13" s="704" t="s">
        <v>699</v>
      </c>
      <c r="H13" s="705" t="s">
        <v>70</v>
      </c>
      <c r="I13" s="703">
        <v>42035</v>
      </c>
      <c r="J13" s="704" t="s">
        <v>1008</v>
      </c>
      <c r="K13" s="704" t="s">
        <v>125</v>
      </c>
      <c r="L13" s="704" t="s">
        <v>70</v>
      </c>
      <c r="M13" s="704" t="s">
        <v>126</v>
      </c>
      <c r="N13" s="704" t="s">
        <v>99</v>
      </c>
      <c r="O13" s="704" t="s">
        <v>1009</v>
      </c>
      <c r="P13" s="704" t="s">
        <v>1011</v>
      </c>
      <c r="Q13" s="704" t="s">
        <v>1012</v>
      </c>
      <c r="R13" s="704" t="s">
        <v>70</v>
      </c>
      <c r="S13" s="704" t="s">
        <v>1014</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1007</v>
      </c>
      <c r="G31" s="704" t="s">
        <v>699</v>
      </c>
      <c r="H31" s="705" t="s">
        <v>70</v>
      </c>
      <c r="I31" s="703">
        <v>42035</v>
      </c>
      <c r="J31" s="704" t="s">
        <v>1008</v>
      </c>
      <c r="K31" s="704" t="s">
        <v>125</v>
      </c>
      <c r="L31" s="704" t="s">
        <v>70</v>
      </c>
      <c r="M31" s="704" t="s">
        <v>126</v>
      </c>
      <c r="N31" s="704" t="s">
        <v>99</v>
      </c>
      <c r="O31" s="704" t="s">
        <v>1009</v>
      </c>
      <c r="P31" s="704" t="s">
        <v>1011</v>
      </c>
      <c r="Q31" s="704" t="s">
        <v>1012</v>
      </c>
      <c r="R31" s="704" t="s">
        <v>70</v>
      </c>
      <c r="S31" s="704" t="s">
        <v>1014</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1018</v>
      </c>
      <c r="N34" s="685" t="s">
        <v>1018</v>
      </c>
      <c r="O34" s="685" t="s">
        <v>1018</v>
      </c>
      <c r="P34" s="684" t="s">
        <v>1018</v>
      </c>
      <c r="Q34" s="685" t="s">
        <v>1018</v>
      </c>
      <c r="R34" s="685" t="s">
        <v>1018</v>
      </c>
      <c r="S34" s="685" t="s">
        <v>1018</v>
      </c>
      <c r="T34" s="686">
        <f t="shared" si="5"/>
        <v>0</v>
      </c>
      <c r="Z34" s="205"/>
      <c r="AA34" s="205"/>
    </row>
    <row r="35" spans="1:27" s="203" customFormat="1" ht="17.25" customHeight="1" thickBot="1">
      <c r="A35" s="1159" t="s">
        <v>703</v>
      </c>
      <c r="B35" s="1160"/>
      <c r="C35" s="342" t="s">
        <v>82</v>
      </c>
      <c r="D35" s="732">
        <v>0</v>
      </c>
      <c r="E35" s="687" t="s">
        <v>1018</v>
      </c>
      <c r="F35" s="684" t="s">
        <v>1018</v>
      </c>
      <c r="G35" s="685" t="s">
        <v>1018</v>
      </c>
      <c r="H35" s="685" t="s">
        <v>1018</v>
      </c>
      <c r="I35" s="685" t="s">
        <v>1018</v>
      </c>
      <c r="J35" s="685" t="s">
        <v>1018</v>
      </c>
      <c r="K35" s="689" t="s">
        <v>1018</v>
      </c>
      <c r="L35" s="685" t="s">
        <v>1018</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1018</v>
      </c>
      <c r="T36" s="683">
        <f t="shared" si="5"/>
        <v>0</v>
      </c>
      <c r="Z36" s="205"/>
      <c r="AA36" s="205"/>
    </row>
    <row r="37" spans="1:27" s="203" customFormat="1" ht="17.25" customHeight="1" thickBot="1">
      <c r="A37" s="1161" t="s">
        <v>1020</v>
      </c>
      <c r="B37" s="1162"/>
      <c r="C37" s="343" t="s">
        <v>82</v>
      </c>
      <c r="D37" s="733">
        <v>0</v>
      </c>
      <c r="E37" s="687" t="s">
        <v>1018</v>
      </c>
      <c r="F37" s="684" t="s">
        <v>1018</v>
      </c>
      <c r="G37" s="685" t="s">
        <v>1018</v>
      </c>
      <c r="H37" s="685" t="s">
        <v>1018</v>
      </c>
      <c r="I37" s="685" t="s">
        <v>1018</v>
      </c>
      <c r="J37" s="685" t="s">
        <v>1018</v>
      </c>
      <c r="K37" s="689" t="s">
        <v>1018</v>
      </c>
      <c r="L37" s="685" t="s">
        <v>1018</v>
      </c>
      <c r="M37" s="684" t="s">
        <v>1018</v>
      </c>
      <c r="N37" s="685" t="s">
        <v>1018</v>
      </c>
      <c r="O37" s="685" t="s">
        <v>1018</v>
      </c>
      <c r="P37" s="684" t="s">
        <v>1018</v>
      </c>
      <c r="Q37" s="685" t="s">
        <v>1018</v>
      </c>
      <c r="R37" s="685" t="s">
        <v>1018</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1018</v>
      </c>
      <c r="I39" s="617">
        <f t="shared" si="7"/>
      </c>
      <c r="J39" s="617">
        <f t="shared" si="7"/>
      </c>
      <c r="K39" s="617">
        <f t="shared" si="7"/>
      </c>
      <c r="L39" s="687" t="s">
        <v>1018</v>
      </c>
      <c r="M39" s="617">
        <f t="shared" si="8"/>
      </c>
      <c r="N39" s="617">
        <f t="shared" si="8"/>
      </c>
      <c r="O39" s="617">
        <f t="shared" si="8"/>
      </c>
      <c r="P39" s="617">
        <f t="shared" si="8"/>
      </c>
      <c r="Q39" s="617">
        <f t="shared" si="8"/>
      </c>
      <c r="R39" s="687" t="s">
        <v>1018</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1018</v>
      </c>
      <c r="I40" s="617">
        <f t="shared" si="7"/>
      </c>
      <c r="J40" s="617">
        <f t="shared" si="7"/>
      </c>
      <c r="K40" s="617">
        <f t="shared" si="7"/>
      </c>
      <c r="L40" s="687" t="s">
        <v>1018</v>
      </c>
      <c r="M40" s="617">
        <f t="shared" si="8"/>
      </c>
      <c r="N40" s="617">
        <f t="shared" si="8"/>
      </c>
      <c r="O40" s="617">
        <f t="shared" si="8"/>
      </c>
      <c r="P40" s="617">
        <f t="shared" si="8"/>
      </c>
      <c r="Q40" s="617">
        <f t="shared" si="8"/>
      </c>
      <c r="R40" s="687" t="s">
        <v>1018</v>
      </c>
      <c r="S40" s="617">
        <f>IF(S$28=0,"",ROUND(S$28*$D40/1000,0))</f>
      </c>
      <c r="T40" s="683">
        <f t="shared" si="5"/>
        <v>0</v>
      </c>
      <c r="Z40" s="205"/>
      <c r="AA40" s="205"/>
    </row>
    <row r="41" spans="1:27" s="203" customFormat="1" ht="17.25" customHeight="1" thickBot="1">
      <c r="A41" s="1161" t="s">
        <v>638</v>
      </c>
      <c r="B41" s="1162"/>
      <c r="C41" s="206" t="s">
        <v>82</v>
      </c>
      <c r="D41" s="732">
        <v>0</v>
      </c>
      <c r="E41" s="687" t="s">
        <v>1018</v>
      </c>
      <c r="F41" s="692" t="s">
        <v>1018</v>
      </c>
      <c r="G41" s="687" t="s">
        <v>1018</v>
      </c>
      <c r="H41" s="691">
        <f>IF(H$26=0,"",ROUND((IF(ROUNDDOWN(H$26,-3)&gt;1500000,1500000,ROUNDDOWN(H$26,-3))*$D41/1000),0))</f>
      </c>
      <c r="I41" s="687" t="s">
        <v>1018</v>
      </c>
      <c r="J41" s="687" t="s">
        <v>1018</v>
      </c>
      <c r="K41" s="688" t="s">
        <v>1018</v>
      </c>
      <c r="L41" s="617">
        <f>IF(L$26=0,"",ROUND((IF(ROUNDDOWN(L$26,-3)&gt;1500000,1500000,ROUNDDOWN(L$26,-3))*$D41/1000),0))</f>
      </c>
      <c r="M41" s="693" t="s">
        <v>1018</v>
      </c>
      <c r="N41" s="694" t="s">
        <v>1018</v>
      </c>
      <c r="O41" s="694" t="s">
        <v>1018</v>
      </c>
      <c r="P41" s="693" t="s">
        <v>1018</v>
      </c>
      <c r="Q41" s="694" t="s">
        <v>1018</v>
      </c>
      <c r="R41" s="617">
        <f>IF(R$26=0,"",ROUND((IF(ROUNDDOWN(R$26,-3)&gt;1500000,1500000,ROUNDDOWN(R$26,-3))*$D41/1000),0))</f>
      </c>
      <c r="S41" s="694" t="s">
        <v>1018</v>
      </c>
      <c r="T41" s="683">
        <f t="shared" si="5"/>
        <v>0</v>
      </c>
      <c r="Z41" s="205"/>
      <c r="AA41" s="205"/>
    </row>
    <row r="42" spans="1:27" s="203" customFormat="1" ht="17.25" customHeight="1" thickBot="1">
      <c r="A42" s="1161" t="s">
        <v>638</v>
      </c>
      <c r="B42" s="1162"/>
      <c r="C42" s="206" t="s">
        <v>82</v>
      </c>
      <c r="D42" s="732">
        <v>0</v>
      </c>
      <c r="E42" s="687" t="s">
        <v>1018</v>
      </c>
      <c r="F42" s="692" t="s">
        <v>1018</v>
      </c>
      <c r="G42" s="687" t="s">
        <v>1018</v>
      </c>
      <c r="H42" s="691">
        <f>IF(H$26=0,"",ROUND((IF(ROUNDDOWN(H$26,-3)&gt;1500000,1500000,ROUNDDOWN(H$26,-3))*$D42/1000),0))</f>
      </c>
      <c r="I42" s="687" t="s">
        <v>1018</v>
      </c>
      <c r="J42" s="687" t="s">
        <v>1018</v>
      </c>
      <c r="K42" s="688" t="s">
        <v>1018</v>
      </c>
      <c r="L42" s="617">
        <f>IF(L$26=0,"",ROUND((IF(ROUNDDOWN(L$26,-3)&gt;1500000,1500000,ROUNDDOWN(L$26,-3))*$D42/1000),0))</f>
      </c>
      <c r="M42" s="693" t="s">
        <v>1018</v>
      </c>
      <c r="N42" s="694" t="s">
        <v>1018</v>
      </c>
      <c r="O42" s="694" t="s">
        <v>1018</v>
      </c>
      <c r="P42" s="693" t="s">
        <v>1018</v>
      </c>
      <c r="Q42" s="694" t="s">
        <v>1018</v>
      </c>
      <c r="R42" s="617">
        <f>IF(R$26=0,"",ROUND((IF(ROUNDDOWN(R$26,-3)&gt;1500000,1500000,ROUNDDOWN(R$26,-3))*$D42/1000),0))</f>
      </c>
      <c r="S42" s="694" t="s">
        <v>1018</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OR('賃金台帳(2)'!#REF!&gt;=1501000,$G$26&gt;=1501000,$L$26&gt;=1501000,$P$26&gt;=1501000,'賃金台帳(2)'!#REF!&gt;=1501000)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3.xml><?xml version="1.0" encoding="utf-8"?>
<worksheet xmlns="http://schemas.openxmlformats.org/spreadsheetml/2006/main" xmlns:r="http://schemas.openxmlformats.org/officeDocument/2006/relationships">
  <sheetPr codeName="Sheet3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IF('対象者一覧表'!E12="","",'対象者一覧表'!E12)</f>
        <v>設計部</v>
      </c>
      <c r="C6" s="1126"/>
      <c r="D6" s="750" t="str">
        <f>IF('対象者一覧表'!F12="","",'対象者一覧表'!F12)</f>
        <v>部長</v>
      </c>
      <c r="G6" s="707"/>
      <c r="H6" s="707"/>
      <c r="I6" s="707"/>
      <c r="K6" s="90"/>
      <c r="L6" s="15" t="s">
        <v>833</v>
      </c>
      <c r="N6" s="93"/>
      <c r="O6" s="93"/>
      <c r="P6" s="93"/>
      <c r="Q6"/>
      <c r="R6"/>
      <c r="S6"/>
      <c r="T6"/>
      <c r="U6"/>
      <c r="V6"/>
      <c r="W6" s="707"/>
      <c r="X6" s="707"/>
    </row>
    <row r="7" spans="1:24" ht="18" customHeight="1">
      <c r="A7" s="752" t="s">
        <v>67</v>
      </c>
      <c r="B7" s="1126" t="str">
        <f>IF('対象者一覧表'!D12="","",'対象者一覧表'!D12)</f>
        <v>加藤　寅乃介</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IF('対象者一覧表'!H12="","",'対象者一覧表'!H12)</f>
        <v>22148</v>
      </c>
      <c r="C8" s="1127"/>
      <c r="D8" s="754">
        <f>IF(B8="","",DATEDIF(B8,E13,"Y"))</f>
        <v>54</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1040</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1041</v>
      </c>
      <c r="I12"/>
      <c r="J12" s="217"/>
      <c r="L12" s="217" t="s">
        <v>1041</v>
      </c>
      <c r="R12" s="217" t="s">
        <v>1041</v>
      </c>
    </row>
    <row r="13" spans="1:27" ht="15" customHeight="1" thickBot="1">
      <c r="A13" s="1130" t="s">
        <v>700</v>
      </c>
      <c r="B13" s="1131"/>
      <c r="C13" s="1130" t="s">
        <v>69</v>
      </c>
      <c r="D13" s="1131"/>
      <c r="E13" s="703">
        <v>41943</v>
      </c>
      <c r="F13" s="704" t="s">
        <v>1042</v>
      </c>
      <c r="G13" s="704" t="s">
        <v>699</v>
      </c>
      <c r="H13" s="705" t="s">
        <v>70</v>
      </c>
      <c r="I13" s="703">
        <v>42035</v>
      </c>
      <c r="J13" s="704" t="s">
        <v>1043</v>
      </c>
      <c r="K13" s="704" t="s">
        <v>125</v>
      </c>
      <c r="L13" s="704" t="s">
        <v>70</v>
      </c>
      <c r="M13" s="704" t="s">
        <v>126</v>
      </c>
      <c r="N13" s="704" t="s">
        <v>99</v>
      </c>
      <c r="O13" s="704" t="s">
        <v>1044</v>
      </c>
      <c r="P13" s="704" t="s">
        <v>1045</v>
      </c>
      <c r="Q13" s="704" t="s">
        <v>1046</v>
      </c>
      <c r="R13" s="704" t="s">
        <v>70</v>
      </c>
      <c r="S13" s="704" t="s">
        <v>1047</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1042</v>
      </c>
      <c r="G31" s="704" t="s">
        <v>699</v>
      </c>
      <c r="H31" s="705" t="s">
        <v>70</v>
      </c>
      <c r="I31" s="703">
        <v>42035</v>
      </c>
      <c r="J31" s="704" t="s">
        <v>1043</v>
      </c>
      <c r="K31" s="704" t="s">
        <v>125</v>
      </c>
      <c r="L31" s="704" t="s">
        <v>70</v>
      </c>
      <c r="M31" s="704" t="s">
        <v>126</v>
      </c>
      <c r="N31" s="704" t="s">
        <v>99</v>
      </c>
      <c r="O31" s="704" t="s">
        <v>1044</v>
      </c>
      <c r="P31" s="704" t="s">
        <v>1045</v>
      </c>
      <c r="Q31" s="704" t="s">
        <v>1046</v>
      </c>
      <c r="R31" s="704" t="s">
        <v>70</v>
      </c>
      <c r="S31" s="704" t="s">
        <v>1047</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1048</v>
      </c>
      <c r="N34" s="685" t="s">
        <v>1048</v>
      </c>
      <c r="O34" s="685" t="s">
        <v>1048</v>
      </c>
      <c r="P34" s="684" t="s">
        <v>1048</v>
      </c>
      <c r="Q34" s="685" t="s">
        <v>1048</v>
      </c>
      <c r="R34" s="685" t="s">
        <v>1048</v>
      </c>
      <c r="S34" s="685" t="s">
        <v>1048</v>
      </c>
      <c r="T34" s="686">
        <f t="shared" si="5"/>
        <v>0</v>
      </c>
      <c r="Z34" s="205"/>
      <c r="AA34" s="205"/>
    </row>
    <row r="35" spans="1:27" s="203" customFormat="1" ht="17.25" customHeight="1" thickBot="1">
      <c r="A35" s="1159" t="s">
        <v>703</v>
      </c>
      <c r="B35" s="1160"/>
      <c r="C35" s="342" t="s">
        <v>82</v>
      </c>
      <c r="D35" s="732">
        <v>0</v>
      </c>
      <c r="E35" s="687" t="s">
        <v>1048</v>
      </c>
      <c r="F35" s="684" t="s">
        <v>1048</v>
      </c>
      <c r="G35" s="685" t="s">
        <v>1048</v>
      </c>
      <c r="H35" s="685" t="s">
        <v>1048</v>
      </c>
      <c r="I35" s="685" t="s">
        <v>1048</v>
      </c>
      <c r="J35" s="685" t="s">
        <v>1048</v>
      </c>
      <c r="K35" s="689" t="s">
        <v>1048</v>
      </c>
      <c r="L35" s="685" t="s">
        <v>1048</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1048</v>
      </c>
      <c r="T36" s="683">
        <f t="shared" si="5"/>
        <v>0</v>
      </c>
      <c r="Z36" s="205"/>
      <c r="AA36" s="205"/>
    </row>
    <row r="37" spans="1:27" s="203" customFormat="1" ht="17.25" customHeight="1" thickBot="1">
      <c r="A37" s="1161" t="s">
        <v>1020</v>
      </c>
      <c r="B37" s="1162"/>
      <c r="C37" s="343" t="s">
        <v>82</v>
      </c>
      <c r="D37" s="733">
        <v>0</v>
      </c>
      <c r="E37" s="687" t="s">
        <v>1048</v>
      </c>
      <c r="F37" s="684" t="s">
        <v>1048</v>
      </c>
      <c r="G37" s="685" t="s">
        <v>1048</v>
      </c>
      <c r="H37" s="685" t="s">
        <v>1048</v>
      </c>
      <c r="I37" s="685" t="s">
        <v>1048</v>
      </c>
      <c r="J37" s="685" t="s">
        <v>1048</v>
      </c>
      <c r="K37" s="689" t="s">
        <v>1048</v>
      </c>
      <c r="L37" s="685" t="s">
        <v>1048</v>
      </c>
      <c r="M37" s="684" t="s">
        <v>1048</v>
      </c>
      <c r="N37" s="685" t="s">
        <v>1048</v>
      </c>
      <c r="O37" s="685" t="s">
        <v>1048</v>
      </c>
      <c r="P37" s="684" t="s">
        <v>1048</v>
      </c>
      <c r="Q37" s="685" t="s">
        <v>1048</v>
      </c>
      <c r="R37" s="685" t="s">
        <v>1048</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1048</v>
      </c>
      <c r="I39" s="617">
        <f t="shared" si="7"/>
      </c>
      <c r="J39" s="617">
        <f t="shared" si="7"/>
      </c>
      <c r="K39" s="617">
        <f t="shared" si="7"/>
      </c>
      <c r="L39" s="687" t="s">
        <v>1048</v>
      </c>
      <c r="M39" s="617">
        <f t="shared" si="8"/>
      </c>
      <c r="N39" s="617">
        <f t="shared" si="8"/>
      </c>
      <c r="O39" s="617">
        <f t="shared" si="8"/>
      </c>
      <c r="P39" s="617">
        <f t="shared" si="8"/>
      </c>
      <c r="Q39" s="617">
        <f t="shared" si="8"/>
      </c>
      <c r="R39" s="687" t="s">
        <v>1048</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1048</v>
      </c>
      <c r="I40" s="617">
        <f t="shared" si="7"/>
      </c>
      <c r="J40" s="617">
        <f t="shared" si="7"/>
      </c>
      <c r="K40" s="617">
        <f t="shared" si="7"/>
      </c>
      <c r="L40" s="687" t="s">
        <v>1048</v>
      </c>
      <c r="M40" s="617">
        <f t="shared" si="8"/>
      </c>
      <c r="N40" s="617">
        <f t="shared" si="8"/>
      </c>
      <c r="O40" s="617">
        <f t="shared" si="8"/>
      </c>
      <c r="P40" s="617">
        <f t="shared" si="8"/>
      </c>
      <c r="Q40" s="617">
        <f t="shared" si="8"/>
      </c>
      <c r="R40" s="687" t="s">
        <v>1048</v>
      </c>
      <c r="S40" s="617">
        <f>IF(S$28=0,"",ROUND(S$28*$D40/1000,0))</f>
      </c>
      <c r="T40" s="683">
        <f t="shared" si="5"/>
        <v>0</v>
      </c>
      <c r="Z40" s="205"/>
      <c r="AA40" s="205"/>
    </row>
    <row r="41" spans="1:27" s="203" customFormat="1" ht="17.25" customHeight="1" thickBot="1">
      <c r="A41" s="1161" t="s">
        <v>638</v>
      </c>
      <c r="B41" s="1162"/>
      <c r="C41" s="206" t="s">
        <v>82</v>
      </c>
      <c r="D41" s="732">
        <v>0</v>
      </c>
      <c r="E41" s="687" t="s">
        <v>1048</v>
      </c>
      <c r="F41" s="692" t="s">
        <v>1048</v>
      </c>
      <c r="G41" s="687" t="s">
        <v>1048</v>
      </c>
      <c r="H41" s="691">
        <f>IF(H$26=0,"",ROUND((IF(ROUNDDOWN(H$26,-3)&gt;1500000,1500000,ROUNDDOWN(H$26,-3))*$D41/1000),0))</f>
      </c>
      <c r="I41" s="687" t="s">
        <v>1048</v>
      </c>
      <c r="J41" s="687" t="s">
        <v>1048</v>
      </c>
      <c r="K41" s="688" t="s">
        <v>1048</v>
      </c>
      <c r="L41" s="617">
        <f>IF(L$26=0,"",ROUND((IF(ROUNDDOWN(L$26,-3)&gt;1500000,1500000,ROUNDDOWN(L$26,-3))*$D41/1000),0))</f>
      </c>
      <c r="M41" s="693" t="s">
        <v>1048</v>
      </c>
      <c r="N41" s="694" t="s">
        <v>1048</v>
      </c>
      <c r="O41" s="694" t="s">
        <v>1048</v>
      </c>
      <c r="P41" s="693" t="s">
        <v>1048</v>
      </c>
      <c r="Q41" s="694" t="s">
        <v>1048</v>
      </c>
      <c r="R41" s="617">
        <f>IF(R$26=0,"",ROUND((IF(ROUNDDOWN(R$26,-3)&gt;1500000,1500000,ROUNDDOWN(R$26,-3))*$D41/1000),0))</f>
      </c>
      <c r="S41" s="694" t="s">
        <v>1048</v>
      </c>
      <c r="T41" s="683">
        <f t="shared" si="5"/>
        <v>0</v>
      </c>
      <c r="Z41" s="205"/>
      <c r="AA41" s="205"/>
    </row>
    <row r="42" spans="1:27" s="203" customFormat="1" ht="17.25" customHeight="1" thickBot="1">
      <c r="A42" s="1161" t="s">
        <v>638</v>
      </c>
      <c r="B42" s="1162"/>
      <c r="C42" s="206" t="s">
        <v>82</v>
      </c>
      <c r="D42" s="732">
        <v>0</v>
      </c>
      <c r="E42" s="687" t="s">
        <v>1048</v>
      </c>
      <c r="F42" s="692" t="s">
        <v>1048</v>
      </c>
      <c r="G42" s="687" t="s">
        <v>1048</v>
      </c>
      <c r="H42" s="691">
        <f>IF(H$26=0,"",ROUND((IF(ROUNDDOWN(H$26,-3)&gt;1500000,1500000,ROUNDDOWN(H$26,-3))*$D42/1000),0))</f>
      </c>
      <c r="I42" s="687" t="s">
        <v>1048</v>
      </c>
      <c r="J42" s="687" t="s">
        <v>1048</v>
      </c>
      <c r="K42" s="688" t="s">
        <v>1048</v>
      </c>
      <c r="L42" s="617">
        <f>IF(L$26=0,"",ROUND((IF(ROUNDDOWN(L$26,-3)&gt;1500000,1500000,ROUNDDOWN(L$26,-3))*$D42/1000),0))</f>
      </c>
      <c r="M42" s="693" t="s">
        <v>1048</v>
      </c>
      <c r="N42" s="694" t="s">
        <v>1048</v>
      </c>
      <c r="O42" s="694" t="s">
        <v>1048</v>
      </c>
      <c r="P42" s="693" t="s">
        <v>1048</v>
      </c>
      <c r="Q42" s="694" t="s">
        <v>1048</v>
      </c>
      <c r="R42" s="617">
        <f>IF(R$26=0,"",ROUND((IF(ROUNDDOWN(R$26,-3)&gt;1500000,1500000,ROUNDDOWN(R$26,-3))*$D42/1000),0))</f>
      </c>
      <c r="S42" s="694" t="s">
        <v>1048</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OR('賃金台帳(3)'!#REF!&gt;=1501000,$G$26&gt;=1501000,$L$26&gt;=1501000,$P$26&gt;=1501000,'賃金台帳(3)'!#REF!&gt;=1501000)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4.xml><?xml version="1.0" encoding="utf-8"?>
<worksheet xmlns="http://schemas.openxmlformats.org/spreadsheetml/2006/main" xmlns:r="http://schemas.openxmlformats.org/officeDocument/2006/relationships">
  <sheetPr codeName="Sheet36">
    <tabColor rgb="FFFFFF00"/>
    <pageSetUpPr fitToPage="1"/>
  </sheetPr>
  <dimension ref="A1:AN66"/>
  <sheetViews>
    <sheetView showGridLines="0" zoomScaleSheetLayoutView="10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IF('対象者一覧表'!E13="","",'対象者一覧表'!E13)</f>
        <v>設計部</v>
      </c>
      <c r="C6" s="1126"/>
      <c r="D6" s="750">
        <f>IF('対象者一覧表'!F13="","",'対象者一覧表'!F13)</f>
      </c>
      <c r="G6" s="707"/>
      <c r="H6" s="707"/>
      <c r="I6" s="707"/>
      <c r="K6" s="90"/>
      <c r="L6" s="15" t="s">
        <v>833</v>
      </c>
      <c r="N6" s="93"/>
      <c r="O6" s="93"/>
      <c r="P6" s="93"/>
      <c r="Q6"/>
      <c r="R6"/>
      <c r="S6"/>
      <c r="T6"/>
      <c r="U6"/>
      <c r="V6"/>
      <c r="W6" s="707"/>
      <c r="X6" s="707"/>
    </row>
    <row r="7" spans="1:24" ht="18" customHeight="1">
      <c r="A7" s="752" t="s">
        <v>67</v>
      </c>
      <c r="B7" s="1126" t="str">
        <f>IF('対象者一覧表'!D13="","",'対象者一覧表'!D13)</f>
        <v>山本　卯助</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IF('対象者一覧表'!H13="","",'対象者一覧表'!H13)</f>
        <v>25742</v>
      </c>
      <c r="C8" s="1127"/>
      <c r="D8" s="754">
        <f>IF(B8="","",DATEDIF(B8,E13,"Y"))</f>
        <v>44</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1004</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1006</v>
      </c>
      <c r="I12"/>
      <c r="J12" s="217"/>
      <c r="L12" s="217" t="s">
        <v>1006</v>
      </c>
      <c r="R12" s="217" t="s">
        <v>1006</v>
      </c>
    </row>
    <row r="13" spans="1:27" ht="15" customHeight="1" thickBot="1">
      <c r="A13" s="1130" t="s">
        <v>700</v>
      </c>
      <c r="B13" s="1131"/>
      <c r="C13" s="1130" t="s">
        <v>69</v>
      </c>
      <c r="D13" s="1131"/>
      <c r="E13" s="703">
        <v>41943</v>
      </c>
      <c r="F13" s="704" t="s">
        <v>1007</v>
      </c>
      <c r="G13" s="704" t="s">
        <v>699</v>
      </c>
      <c r="H13" s="705" t="s">
        <v>70</v>
      </c>
      <c r="I13" s="703">
        <v>42035</v>
      </c>
      <c r="J13" s="704" t="s">
        <v>1008</v>
      </c>
      <c r="K13" s="704" t="s">
        <v>125</v>
      </c>
      <c r="L13" s="704" t="s">
        <v>70</v>
      </c>
      <c r="M13" s="704" t="s">
        <v>126</v>
      </c>
      <c r="N13" s="704" t="s">
        <v>99</v>
      </c>
      <c r="O13" s="704" t="s">
        <v>1009</v>
      </c>
      <c r="P13" s="704" t="s">
        <v>1011</v>
      </c>
      <c r="Q13" s="704" t="s">
        <v>1012</v>
      </c>
      <c r="R13" s="704" t="s">
        <v>70</v>
      </c>
      <c r="S13" s="704" t="s">
        <v>1014</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1007</v>
      </c>
      <c r="G31" s="704" t="s">
        <v>699</v>
      </c>
      <c r="H31" s="705" t="s">
        <v>70</v>
      </c>
      <c r="I31" s="703">
        <v>42035</v>
      </c>
      <c r="J31" s="704" t="s">
        <v>1008</v>
      </c>
      <c r="K31" s="704" t="s">
        <v>125</v>
      </c>
      <c r="L31" s="704" t="s">
        <v>70</v>
      </c>
      <c r="M31" s="704" t="s">
        <v>126</v>
      </c>
      <c r="N31" s="704" t="s">
        <v>99</v>
      </c>
      <c r="O31" s="704" t="s">
        <v>1009</v>
      </c>
      <c r="P31" s="704" t="s">
        <v>1011</v>
      </c>
      <c r="Q31" s="704" t="s">
        <v>1012</v>
      </c>
      <c r="R31" s="704" t="s">
        <v>70</v>
      </c>
      <c r="S31" s="704" t="s">
        <v>1014</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1018</v>
      </c>
      <c r="N34" s="685" t="s">
        <v>1018</v>
      </c>
      <c r="O34" s="685" t="s">
        <v>1018</v>
      </c>
      <c r="P34" s="684" t="s">
        <v>1018</v>
      </c>
      <c r="Q34" s="685" t="s">
        <v>1018</v>
      </c>
      <c r="R34" s="685" t="s">
        <v>1018</v>
      </c>
      <c r="S34" s="685" t="s">
        <v>1018</v>
      </c>
      <c r="T34" s="686">
        <f t="shared" si="5"/>
        <v>0</v>
      </c>
      <c r="Z34" s="205"/>
      <c r="AA34" s="205"/>
    </row>
    <row r="35" spans="1:27" s="203" customFormat="1" ht="17.25" customHeight="1" thickBot="1">
      <c r="A35" s="1159" t="s">
        <v>703</v>
      </c>
      <c r="B35" s="1160"/>
      <c r="C35" s="342" t="s">
        <v>82</v>
      </c>
      <c r="D35" s="732">
        <v>0</v>
      </c>
      <c r="E35" s="687" t="s">
        <v>1018</v>
      </c>
      <c r="F35" s="684" t="s">
        <v>1018</v>
      </c>
      <c r="G35" s="685" t="s">
        <v>1018</v>
      </c>
      <c r="H35" s="685" t="s">
        <v>1018</v>
      </c>
      <c r="I35" s="685" t="s">
        <v>1018</v>
      </c>
      <c r="J35" s="685" t="s">
        <v>1018</v>
      </c>
      <c r="K35" s="689" t="s">
        <v>1018</v>
      </c>
      <c r="L35" s="685" t="s">
        <v>1018</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1018</v>
      </c>
      <c r="T36" s="683">
        <f t="shared" si="5"/>
        <v>0</v>
      </c>
      <c r="Z36" s="205"/>
      <c r="AA36" s="205"/>
    </row>
    <row r="37" spans="1:27" s="203" customFormat="1" ht="17.25" customHeight="1" thickBot="1">
      <c r="A37" s="1161" t="s">
        <v>1020</v>
      </c>
      <c r="B37" s="1162"/>
      <c r="C37" s="343" t="s">
        <v>82</v>
      </c>
      <c r="D37" s="733">
        <v>0</v>
      </c>
      <c r="E37" s="687" t="s">
        <v>1018</v>
      </c>
      <c r="F37" s="684" t="s">
        <v>1018</v>
      </c>
      <c r="G37" s="685" t="s">
        <v>1018</v>
      </c>
      <c r="H37" s="685" t="s">
        <v>1018</v>
      </c>
      <c r="I37" s="685" t="s">
        <v>1018</v>
      </c>
      <c r="J37" s="685" t="s">
        <v>1018</v>
      </c>
      <c r="K37" s="689" t="s">
        <v>1018</v>
      </c>
      <c r="L37" s="685" t="s">
        <v>1018</v>
      </c>
      <c r="M37" s="684" t="s">
        <v>1018</v>
      </c>
      <c r="N37" s="685" t="s">
        <v>1018</v>
      </c>
      <c r="O37" s="685" t="s">
        <v>1018</v>
      </c>
      <c r="P37" s="684" t="s">
        <v>1018</v>
      </c>
      <c r="Q37" s="685" t="s">
        <v>1018</v>
      </c>
      <c r="R37" s="685" t="s">
        <v>1018</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1018</v>
      </c>
      <c r="I39" s="617">
        <f t="shared" si="7"/>
      </c>
      <c r="J39" s="617">
        <f t="shared" si="7"/>
      </c>
      <c r="K39" s="617">
        <f t="shared" si="7"/>
      </c>
      <c r="L39" s="687" t="s">
        <v>1018</v>
      </c>
      <c r="M39" s="617">
        <f t="shared" si="8"/>
      </c>
      <c r="N39" s="617">
        <f t="shared" si="8"/>
      </c>
      <c r="O39" s="617">
        <f t="shared" si="8"/>
      </c>
      <c r="P39" s="617">
        <f t="shared" si="8"/>
      </c>
      <c r="Q39" s="617">
        <f t="shared" si="8"/>
      </c>
      <c r="R39" s="687" t="s">
        <v>1018</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1018</v>
      </c>
      <c r="I40" s="617">
        <f t="shared" si="7"/>
      </c>
      <c r="J40" s="617">
        <f t="shared" si="7"/>
      </c>
      <c r="K40" s="617">
        <f t="shared" si="7"/>
      </c>
      <c r="L40" s="687" t="s">
        <v>1018</v>
      </c>
      <c r="M40" s="617">
        <f t="shared" si="8"/>
      </c>
      <c r="N40" s="617">
        <f t="shared" si="8"/>
      </c>
      <c r="O40" s="617">
        <f t="shared" si="8"/>
      </c>
      <c r="P40" s="617">
        <f t="shared" si="8"/>
      </c>
      <c r="Q40" s="617">
        <f t="shared" si="8"/>
      </c>
      <c r="R40" s="687" t="s">
        <v>1018</v>
      </c>
      <c r="S40" s="617">
        <f>IF(S$28=0,"",ROUND(S$28*$D40/1000,0))</f>
      </c>
      <c r="T40" s="683">
        <f t="shared" si="5"/>
        <v>0</v>
      </c>
      <c r="Z40" s="205"/>
      <c r="AA40" s="205"/>
    </row>
    <row r="41" spans="1:27" s="203" customFormat="1" ht="17.25" customHeight="1" thickBot="1">
      <c r="A41" s="1161" t="s">
        <v>638</v>
      </c>
      <c r="B41" s="1162"/>
      <c r="C41" s="206" t="s">
        <v>82</v>
      </c>
      <c r="D41" s="732">
        <v>0</v>
      </c>
      <c r="E41" s="687" t="s">
        <v>1018</v>
      </c>
      <c r="F41" s="692" t="s">
        <v>1018</v>
      </c>
      <c r="G41" s="687" t="s">
        <v>1018</v>
      </c>
      <c r="H41" s="691">
        <f>IF(H$26=0,"",ROUND((IF(ROUNDDOWN(H$26,-3)&gt;1500000,1500000,ROUNDDOWN(H$26,-3))*$D41/1000),0))</f>
      </c>
      <c r="I41" s="687" t="s">
        <v>1018</v>
      </c>
      <c r="J41" s="687" t="s">
        <v>1018</v>
      </c>
      <c r="K41" s="688" t="s">
        <v>1018</v>
      </c>
      <c r="L41" s="617">
        <f>IF(L$26=0,"",ROUND((IF(ROUNDDOWN(L$26,-3)&gt;1500000,1500000,ROUNDDOWN(L$26,-3))*$D41/1000),0))</f>
      </c>
      <c r="M41" s="693" t="s">
        <v>1018</v>
      </c>
      <c r="N41" s="694" t="s">
        <v>1018</v>
      </c>
      <c r="O41" s="694" t="s">
        <v>1018</v>
      </c>
      <c r="P41" s="693" t="s">
        <v>1018</v>
      </c>
      <c r="Q41" s="694" t="s">
        <v>1018</v>
      </c>
      <c r="R41" s="617">
        <f>IF(R$26=0,"",ROUND((IF(ROUNDDOWN(R$26,-3)&gt;1500000,1500000,ROUNDDOWN(R$26,-3))*$D41/1000),0))</f>
      </c>
      <c r="S41" s="694" t="s">
        <v>1018</v>
      </c>
      <c r="T41" s="683">
        <f t="shared" si="5"/>
        <v>0</v>
      </c>
      <c r="Z41" s="205"/>
      <c r="AA41" s="205"/>
    </row>
    <row r="42" spans="1:27" s="203" customFormat="1" ht="17.25" customHeight="1" thickBot="1">
      <c r="A42" s="1161" t="s">
        <v>638</v>
      </c>
      <c r="B42" s="1162"/>
      <c r="C42" s="206" t="s">
        <v>82</v>
      </c>
      <c r="D42" s="732">
        <v>0</v>
      </c>
      <c r="E42" s="687" t="s">
        <v>1018</v>
      </c>
      <c r="F42" s="692" t="s">
        <v>1018</v>
      </c>
      <c r="G42" s="687" t="s">
        <v>1018</v>
      </c>
      <c r="H42" s="691">
        <f>IF(H$26=0,"",ROUND((IF(ROUNDDOWN(H$26,-3)&gt;1500000,1500000,ROUNDDOWN(H$26,-3))*$D42/1000),0))</f>
      </c>
      <c r="I42" s="687" t="s">
        <v>1018</v>
      </c>
      <c r="J42" s="687" t="s">
        <v>1018</v>
      </c>
      <c r="K42" s="688" t="s">
        <v>1018</v>
      </c>
      <c r="L42" s="617">
        <f>IF(L$26=0,"",ROUND((IF(ROUNDDOWN(L$26,-3)&gt;1500000,1500000,ROUNDDOWN(L$26,-3))*$D42/1000),0))</f>
      </c>
      <c r="M42" s="693" t="s">
        <v>1018</v>
      </c>
      <c r="N42" s="694" t="s">
        <v>1018</v>
      </c>
      <c r="O42" s="694" t="s">
        <v>1018</v>
      </c>
      <c r="P42" s="693" t="s">
        <v>1018</v>
      </c>
      <c r="Q42" s="694" t="s">
        <v>1018</v>
      </c>
      <c r="R42" s="617">
        <f>IF(R$26=0,"",ROUND((IF(ROUNDDOWN(R$26,-3)&gt;1500000,1500000,ROUNDDOWN(R$26,-3))*$D42/1000),0))</f>
      </c>
      <c r="S42" s="694" t="s">
        <v>1018</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OR('賃金台帳(4)'!#REF!&gt;=1501000,$G$26&gt;=1501000,$L$26&gt;=1501000,$P$26&gt;=1501000,'賃金台帳(4)'!#REF!&gt;=1501000)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sheetPr codeName="Sheet39">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IF('対象者一覧表'!E14="","",'対象者一覧表'!E14)</f>
        <v>設計部</v>
      </c>
      <c r="C6" s="1126"/>
      <c r="D6" s="750" t="str">
        <f>IF('対象者一覧表'!F14="","",'対象者一覧表'!F14)</f>
        <v>課長</v>
      </c>
      <c r="G6" s="707"/>
      <c r="H6" s="707"/>
      <c r="I6" s="707"/>
      <c r="K6" s="90"/>
      <c r="L6" s="15" t="s">
        <v>833</v>
      </c>
      <c r="N6" s="93"/>
      <c r="O6" s="93"/>
      <c r="P6" s="93"/>
      <c r="Q6"/>
      <c r="R6"/>
      <c r="S6"/>
      <c r="T6"/>
      <c r="U6"/>
      <c r="V6"/>
      <c r="W6" s="707"/>
      <c r="X6" s="707"/>
    </row>
    <row r="7" spans="1:24" ht="18" customHeight="1">
      <c r="A7" s="752" t="s">
        <v>67</v>
      </c>
      <c r="B7" s="1126" t="str">
        <f>IF('対象者一覧表'!D14="","",'対象者一覧表'!D14)</f>
        <v>佐藤　辰一郎</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IF('対象者一覧表'!H14="","",'対象者一覧表'!H14)</f>
        <v>25743</v>
      </c>
      <c r="C8" s="1127"/>
      <c r="D8" s="754">
        <f>IF(B8="","",DATEDIF(B8,E13,"Y"))</f>
        <v>44</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1004</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1006</v>
      </c>
      <c r="I12"/>
      <c r="J12" s="217"/>
      <c r="L12" s="217" t="s">
        <v>1006</v>
      </c>
      <c r="R12" s="217" t="s">
        <v>1006</v>
      </c>
    </row>
    <row r="13" spans="1:27" ht="15" customHeight="1" thickBot="1">
      <c r="A13" s="1130" t="s">
        <v>700</v>
      </c>
      <c r="B13" s="1131"/>
      <c r="C13" s="1130" t="s">
        <v>69</v>
      </c>
      <c r="D13" s="1131"/>
      <c r="E13" s="703">
        <v>41943</v>
      </c>
      <c r="F13" s="704" t="s">
        <v>1007</v>
      </c>
      <c r="G13" s="704" t="s">
        <v>699</v>
      </c>
      <c r="H13" s="705" t="s">
        <v>70</v>
      </c>
      <c r="I13" s="703">
        <v>42035</v>
      </c>
      <c r="J13" s="704" t="s">
        <v>1008</v>
      </c>
      <c r="K13" s="704" t="s">
        <v>125</v>
      </c>
      <c r="L13" s="704" t="s">
        <v>70</v>
      </c>
      <c r="M13" s="704" t="s">
        <v>126</v>
      </c>
      <c r="N13" s="704" t="s">
        <v>99</v>
      </c>
      <c r="O13" s="704" t="s">
        <v>1009</v>
      </c>
      <c r="P13" s="704" t="s">
        <v>1011</v>
      </c>
      <c r="Q13" s="704" t="s">
        <v>1012</v>
      </c>
      <c r="R13" s="704" t="s">
        <v>70</v>
      </c>
      <c r="S13" s="704" t="s">
        <v>1014</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1007</v>
      </c>
      <c r="G31" s="704" t="s">
        <v>699</v>
      </c>
      <c r="H31" s="705" t="s">
        <v>70</v>
      </c>
      <c r="I31" s="703">
        <v>42035</v>
      </c>
      <c r="J31" s="704" t="s">
        <v>1008</v>
      </c>
      <c r="K31" s="704" t="s">
        <v>125</v>
      </c>
      <c r="L31" s="704" t="s">
        <v>70</v>
      </c>
      <c r="M31" s="704" t="s">
        <v>126</v>
      </c>
      <c r="N31" s="704" t="s">
        <v>99</v>
      </c>
      <c r="O31" s="704" t="s">
        <v>1009</v>
      </c>
      <c r="P31" s="704" t="s">
        <v>1011</v>
      </c>
      <c r="Q31" s="704" t="s">
        <v>1012</v>
      </c>
      <c r="R31" s="704" t="s">
        <v>70</v>
      </c>
      <c r="S31" s="704" t="s">
        <v>1014</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1018</v>
      </c>
      <c r="N34" s="685" t="s">
        <v>1018</v>
      </c>
      <c r="O34" s="685" t="s">
        <v>1018</v>
      </c>
      <c r="P34" s="684" t="s">
        <v>1018</v>
      </c>
      <c r="Q34" s="685" t="s">
        <v>1018</v>
      </c>
      <c r="R34" s="685" t="s">
        <v>1018</v>
      </c>
      <c r="S34" s="685" t="s">
        <v>1018</v>
      </c>
      <c r="T34" s="686">
        <f t="shared" si="5"/>
        <v>0</v>
      </c>
      <c r="Z34" s="205"/>
      <c r="AA34" s="205"/>
    </row>
    <row r="35" spans="1:27" s="203" customFormat="1" ht="17.25" customHeight="1" thickBot="1">
      <c r="A35" s="1159" t="s">
        <v>703</v>
      </c>
      <c r="B35" s="1160"/>
      <c r="C35" s="342" t="s">
        <v>82</v>
      </c>
      <c r="D35" s="732">
        <v>0</v>
      </c>
      <c r="E35" s="687" t="s">
        <v>1018</v>
      </c>
      <c r="F35" s="684" t="s">
        <v>1018</v>
      </c>
      <c r="G35" s="685" t="s">
        <v>1018</v>
      </c>
      <c r="H35" s="685" t="s">
        <v>1018</v>
      </c>
      <c r="I35" s="685" t="s">
        <v>1018</v>
      </c>
      <c r="J35" s="685" t="s">
        <v>1018</v>
      </c>
      <c r="K35" s="689" t="s">
        <v>1018</v>
      </c>
      <c r="L35" s="685" t="s">
        <v>1018</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1018</v>
      </c>
      <c r="T36" s="683">
        <f t="shared" si="5"/>
        <v>0</v>
      </c>
      <c r="Z36" s="205"/>
      <c r="AA36" s="205"/>
    </row>
    <row r="37" spans="1:27" s="203" customFormat="1" ht="17.25" customHeight="1" thickBot="1">
      <c r="A37" s="1161" t="s">
        <v>1020</v>
      </c>
      <c r="B37" s="1162"/>
      <c r="C37" s="343" t="s">
        <v>82</v>
      </c>
      <c r="D37" s="733">
        <v>0</v>
      </c>
      <c r="E37" s="687" t="s">
        <v>1018</v>
      </c>
      <c r="F37" s="684" t="s">
        <v>1018</v>
      </c>
      <c r="G37" s="685" t="s">
        <v>1018</v>
      </c>
      <c r="H37" s="685" t="s">
        <v>1018</v>
      </c>
      <c r="I37" s="685" t="s">
        <v>1018</v>
      </c>
      <c r="J37" s="685" t="s">
        <v>1018</v>
      </c>
      <c r="K37" s="689" t="s">
        <v>1018</v>
      </c>
      <c r="L37" s="685" t="s">
        <v>1018</v>
      </c>
      <c r="M37" s="684" t="s">
        <v>1018</v>
      </c>
      <c r="N37" s="685" t="s">
        <v>1018</v>
      </c>
      <c r="O37" s="685" t="s">
        <v>1018</v>
      </c>
      <c r="P37" s="684" t="s">
        <v>1018</v>
      </c>
      <c r="Q37" s="685" t="s">
        <v>1018</v>
      </c>
      <c r="R37" s="685" t="s">
        <v>1018</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1018</v>
      </c>
      <c r="I39" s="617">
        <f t="shared" si="7"/>
      </c>
      <c r="J39" s="617">
        <f t="shared" si="7"/>
      </c>
      <c r="K39" s="617">
        <f t="shared" si="7"/>
      </c>
      <c r="L39" s="687" t="s">
        <v>1018</v>
      </c>
      <c r="M39" s="617">
        <f t="shared" si="8"/>
      </c>
      <c r="N39" s="617">
        <f t="shared" si="8"/>
      </c>
      <c r="O39" s="617">
        <f t="shared" si="8"/>
      </c>
      <c r="P39" s="617">
        <f t="shared" si="8"/>
      </c>
      <c r="Q39" s="617">
        <f t="shared" si="8"/>
      </c>
      <c r="R39" s="687" t="s">
        <v>1018</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1018</v>
      </c>
      <c r="I40" s="617">
        <f t="shared" si="7"/>
      </c>
      <c r="J40" s="617">
        <f t="shared" si="7"/>
      </c>
      <c r="K40" s="617">
        <f t="shared" si="7"/>
      </c>
      <c r="L40" s="687" t="s">
        <v>1018</v>
      </c>
      <c r="M40" s="617">
        <f t="shared" si="8"/>
      </c>
      <c r="N40" s="617">
        <f t="shared" si="8"/>
      </c>
      <c r="O40" s="617">
        <f t="shared" si="8"/>
      </c>
      <c r="P40" s="617">
        <f t="shared" si="8"/>
      </c>
      <c r="Q40" s="617">
        <f t="shared" si="8"/>
      </c>
      <c r="R40" s="687" t="s">
        <v>1018</v>
      </c>
      <c r="S40" s="617">
        <f>IF(S$28=0,"",ROUND(S$28*$D40/1000,0))</f>
      </c>
      <c r="T40" s="683">
        <f t="shared" si="5"/>
        <v>0</v>
      </c>
      <c r="Z40" s="205"/>
      <c r="AA40" s="205"/>
    </row>
    <row r="41" spans="1:27" s="203" customFormat="1" ht="17.25" customHeight="1" thickBot="1">
      <c r="A41" s="1161" t="s">
        <v>638</v>
      </c>
      <c r="B41" s="1162"/>
      <c r="C41" s="206" t="s">
        <v>82</v>
      </c>
      <c r="D41" s="732">
        <v>0</v>
      </c>
      <c r="E41" s="687" t="s">
        <v>1018</v>
      </c>
      <c r="F41" s="692" t="s">
        <v>1018</v>
      </c>
      <c r="G41" s="687" t="s">
        <v>1018</v>
      </c>
      <c r="H41" s="691">
        <f>IF(H$26=0,"",ROUND((IF(ROUNDDOWN(H$26,-3)&gt;1500000,1500000,ROUNDDOWN(H$26,-3))*$D41/1000),0))</f>
      </c>
      <c r="I41" s="687" t="s">
        <v>1018</v>
      </c>
      <c r="J41" s="687" t="s">
        <v>1018</v>
      </c>
      <c r="K41" s="688" t="s">
        <v>1018</v>
      </c>
      <c r="L41" s="617">
        <f>IF(L$26=0,"",ROUND((IF(ROUNDDOWN(L$26,-3)&gt;1500000,1500000,ROUNDDOWN(L$26,-3))*$D41/1000),0))</f>
      </c>
      <c r="M41" s="693" t="s">
        <v>1018</v>
      </c>
      <c r="N41" s="694" t="s">
        <v>1018</v>
      </c>
      <c r="O41" s="694" t="s">
        <v>1018</v>
      </c>
      <c r="P41" s="693" t="s">
        <v>1018</v>
      </c>
      <c r="Q41" s="694" t="s">
        <v>1018</v>
      </c>
      <c r="R41" s="617">
        <f>IF(R$26=0,"",ROUND((IF(ROUNDDOWN(R$26,-3)&gt;1500000,1500000,ROUNDDOWN(R$26,-3))*$D41/1000),0))</f>
      </c>
      <c r="S41" s="694" t="s">
        <v>1018</v>
      </c>
      <c r="T41" s="683">
        <f t="shared" si="5"/>
        <v>0</v>
      </c>
      <c r="Z41" s="205"/>
      <c r="AA41" s="205"/>
    </row>
    <row r="42" spans="1:27" s="203" customFormat="1" ht="17.25" customHeight="1" thickBot="1">
      <c r="A42" s="1161" t="s">
        <v>638</v>
      </c>
      <c r="B42" s="1162"/>
      <c r="C42" s="206" t="s">
        <v>82</v>
      </c>
      <c r="D42" s="732">
        <v>0</v>
      </c>
      <c r="E42" s="687" t="s">
        <v>1018</v>
      </c>
      <c r="F42" s="692" t="s">
        <v>1018</v>
      </c>
      <c r="G42" s="687" t="s">
        <v>1018</v>
      </c>
      <c r="H42" s="691">
        <f>IF(H$26=0,"",ROUND((IF(ROUNDDOWN(H$26,-3)&gt;1500000,1500000,ROUNDDOWN(H$26,-3))*$D42/1000),0))</f>
      </c>
      <c r="I42" s="687" t="s">
        <v>1018</v>
      </c>
      <c r="J42" s="687" t="s">
        <v>1018</v>
      </c>
      <c r="K42" s="688" t="s">
        <v>1018</v>
      </c>
      <c r="L42" s="617">
        <f>IF(L$26=0,"",ROUND((IF(ROUNDDOWN(L$26,-3)&gt;1500000,1500000,ROUNDDOWN(L$26,-3))*$D42/1000),0))</f>
      </c>
      <c r="M42" s="693" t="s">
        <v>1018</v>
      </c>
      <c r="N42" s="694" t="s">
        <v>1018</v>
      </c>
      <c r="O42" s="694" t="s">
        <v>1018</v>
      </c>
      <c r="P42" s="693" t="s">
        <v>1018</v>
      </c>
      <c r="Q42" s="694" t="s">
        <v>1018</v>
      </c>
      <c r="R42" s="617">
        <f>IF(R$26=0,"",ROUND((IF(ROUNDDOWN(R$26,-3)&gt;1500000,1500000,ROUNDDOWN(R$26,-3))*$D42/1000),0))</f>
      </c>
      <c r="S42" s="694" t="s">
        <v>1018</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OR('賃金台帳(5)'!#REF!&gt;=1501000,$G$26&gt;=1501000,$L$26&gt;=1501000,$P$26&gt;=1501000,'賃金台帳(5)'!#REF!&gt;=1501000)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codeName="Sheet40">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IF('対象者一覧表'!E15="","",'対象者一覧表'!E15)</f>
        <v>製造部</v>
      </c>
      <c r="C6" s="1126"/>
      <c r="D6" s="750">
        <f>IF('対象者一覧表'!F15="","",'対象者一覧表'!F15)</f>
      </c>
      <c r="G6" s="707"/>
      <c r="H6" s="707"/>
      <c r="I6" s="707"/>
      <c r="K6" s="90"/>
      <c r="L6" s="15" t="s">
        <v>833</v>
      </c>
      <c r="N6" s="93"/>
      <c r="O6" s="93"/>
      <c r="P6" s="93"/>
      <c r="Q6"/>
      <c r="R6"/>
      <c r="S6"/>
      <c r="T6"/>
      <c r="U6"/>
      <c r="V6"/>
      <c r="W6" s="707"/>
      <c r="X6" s="707"/>
    </row>
    <row r="7" spans="1:24" ht="18" customHeight="1">
      <c r="A7" s="752" t="s">
        <v>67</v>
      </c>
      <c r="B7" s="1126" t="str">
        <f>IF('対象者一覧表'!D15="","",'対象者一覧表'!D15)</f>
        <v>渡辺　克巳</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IF('対象者一覧表'!H15="","",'対象者一覧表'!H15)</f>
        <v>25744</v>
      </c>
      <c r="C8" s="1127"/>
      <c r="D8" s="754">
        <f>IF(B8="","",DATEDIF(B8,E13,"Y"))</f>
        <v>44</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1004</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1006</v>
      </c>
      <c r="I12"/>
      <c r="J12" s="217"/>
      <c r="L12" s="217" t="s">
        <v>1006</v>
      </c>
      <c r="R12" s="217" t="s">
        <v>1006</v>
      </c>
    </row>
    <row r="13" spans="1:27" ht="15" customHeight="1" thickBot="1">
      <c r="A13" s="1130" t="s">
        <v>700</v>
      </c>
      <c r="B13" s="1131"/>
      <c r="C13" s="1130" t="s">
        <v>69</v>
      </c>
      <c r="D13" s="1131"/>
      <c r="E13" s="703">
        <v>41943</v>
      </c>
      <c r="F13" s="704" t="s">
        <v>1007</v>
      </c>
      <c r="G13" s="704" t="s">
        <v>699</v>
      </c>
      <c r="H13" s="705" t="s">
        <v>70</v>
      </c>
      <c r="I13" s="703">
        <v>42035</v>
      </c>
      <c r="J13" s="704" t="s">
        <v>1008</v>
      </c>
      <c r="K13" s="704" t="s">
        <v>125</v>
      </c>
      <c r="L13" s="704" t="s">
        <v>70</v>
      </c>
      <c r="M13" s="704" t="s">
        <v>126</v>
      </c>
      <c r="N13" s="704" t="s">
        <v>99</v>
      </c>
      <c r="O13" s="704" t="s">
        <v>1009</v>
      </c>
      <c r="P13" s="704" t="s">
        <v>1011</v>
      </c>
      <c r="Q13" s="704" t="s">
        <v>1012</v>
      </c>
      <c r="R13" s="704" t="s">
        <v>70</v>
      </c>
      <c r="S13" s="704" t="s">
        <v>1014</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1007</v>
      </c>
      <c r="G31" s="704" t="s">
        <v>699</v>
      </c>
      <c r="H31" s="705" t="s">
        <v>70</v>
      </c>
      <c r="I31" s="703">
        <v>42035</v>
      </c>
      <c r="J31" s="704" t="s">
        <v>1008</v>
      </c>
      <c r="K31" s="704" t="s">
        <v>125</v>
      </c>
      <c r="L31" s="704" t="s">
        <v>70</v>
      </c>
      <c r="M31" s="704" t="s">
        <v>126</v>
      </c>
      <c r="N31" s="704" t="s">
        <v>99</v>
      </c>
      <c r="O31" s="704" t="s">
        <v>1009</v>
      </c>
      <c r="P31" s="704" t="s">
        <v>1011</v>
      </c>
      <c r="Q31" s="704" t="s">
        <v>1012</v>
      </c>
      <c r="R31" s="704" t="s">
        <v>70</v>
      </c>
      <c r="S31" s="704" t="s">
        <v>1014</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1018</v>
      </c>
      <c r="N34" s="685" t="s">
        <v>1018</v>
      </c>
      <c r="O34" s="685" t="s">
        <v>1018</v>
      </c>
      <c r="P34" s="684" t="s">
        <v>1018</v>
      </c>
      <c r="Q34" s="685" t="s">
        <v>1018</v>
      </c>
      <c r="R34" s="685" t="s">
        <v>1018</v>
      </c>
      <c r="S34" s="685" t="s">
        <v>1018</v>
      </c>
      <c r="T34" s="686">
        <f t="shared" si="5"/>
        <v>0</v>
      </c>
      <c r="Z34" s="205"/>
      <c r="AA34" s="205"/>
    </row>
    <row r="35" spans="1:27" s="203" customFormat="1" ht="17.25" customHeight="1" thickBot="1">
      <c r="A35" s="1159" t="s">
        <v>703</v>
      </c>
      <c r="B35" s="1160"/>
      <c r="C35" s="342" t="s">
        <v>82</v>
      </c>
      <c r="D35" s="732">
        <v>0</v>
      </c>
      <c r="E35" s="687" t="s">
        <v>1018</v>
      </c>
      <c r="F35" s="684" t="s">
        <v>1018</v>
      </c>
      <c r="G35" s="685" t="s">
        <v>1018</v>
      </c>
      <c r="H35" s="685" t="s">
        <v>1018</v>
      </c>
      <c r="I35" s="685" t="s">
        <v>1018</v>
      </c>
      <c r="J35" s="685" t="s">
        <v>1018</v>
      </c>
      <c r="K35" s="689" t="s">
        <v>1018</v>
      </c>
      <c r="L35" s="685" t="s">
        <v>1018</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1018</v>
      </c>
      <c r="T36" s="683">
        <f t="shared" si="5"/>
        <v>0</v>
      </c>
      <c r="Z36" s="205"/>
      <c r="AA36" s="205"/>
    </row>
    <row r="37" spans="1:27" s="203" customFormat="1" ht="17.25" customHeight="1" thickBot="1">
      <c r="A37" s="1161" t="s">
        <v>1020</v>
      </c>
      <c r="B37" s="1162"/>
      <c r="C37" s="343" t="s">
        <v>82</v>
      </c>
      <c r="D37" s="733">
        <v>0</v>
      </c>
      <c r="E37" s="687" t="s">
        <v>1018</v>
      </c>
      <c r="F37" s="684" t="s">
        <v>1018</v>
      </c>
      <c r="G37" s="685" t="s">
        <v>1018</v>
      </c>
      <c r="H37" s="685" t="s">
        <v>1018</v>
      </c>
      <c r="I37" s="685" t="s">
        <v>1018</v>
      </c>
      <c r="J37" s="685" t="s">
        <v>1018</v>
      </c>
      <c r="K37" s="689" t="s">
        <v>1018</v>
      </c>
      <c r="L37" s="685" t="s">
        <v>1018</v>
      </c>
      <c r="M37" s="684" t="s">
        <v>1018</v>
      </c>
      <c r="N37" s="685" t="s">
        <v>1018</v>
      </c>
      <c r="O37" s="685" t="s">
        <v>1018</v>
      </c>
      <c r="P37" s="684" t="s">
        <v>1018</v>
      </c>
      <c r="Q37" s="685" t="s">
        <v>1018</v>
      </c>
      <c r="R37" s="685" t="s">
        <v>1018</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1018</v>
      </c>
      <c r="I39" s="617">
        <f t="shared" si="7"/>
      </c>
      <c r="J39" s="617">
        <f t="shared" si="7"/>
      </c>
      <c r="K39" s="617">
        <f t="shared" si="7"/>
      </c>
      <c r="L39" s="687" t="s">
        <v>1018</v>
      </c>
      <c r="M39" s="617">
        <f t="shared" si="8"/>
      </c>
      <c r="N39" s="617">
        <f t="shared" si="8"/>
      </c>
      <c r="O39" s="617">
        <f t="shared" si="8"/>
      </c>
      <c r="P39" s="617">
        <f t="shared" si="8"/>
      </c>
      <c r="Q39" s="617">
        <f t="shared" si="8"/>
      </c>
      <c r="R39" s="687" t="s">
        <v>1018</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1018</v>
      </c>
      <c r="I40" s="617">
        <f t="shared" si="7"/>
      </c>
      <c r="J40" s="617">
        <f t="shared" si="7"/>
      </c>
      <c r="K40" s="617">
        <f t="shared" si="7"/>
      </c>
      <c r="L40" s="687" t="s">
        <v>1018</v>
      </c>
      <c r="M40" s="617">
        <f t="shared" si="8"/>
      </c>
      <c r="N40" s="617">
        <f t="shared" si="8"/>
      </c>
      <c r="O40" s="617">
        <f t="shared" si="8"/>
      </c>
      <c r="P40" s="617">
        <f t="shared" si="8"/>
      </c>
      <c r="Q40" s="617">
        <f t="shared" si="8"/>
      </c>
      <c r="R40" s="687" t="s">
        <v>1018</v>
      </c>
      <c r="S40" s="617">
        <f>IF(S$28=0,"",ROUND(S$28*$D40/1000,0))</f>
      </c>
      <c r="T40" s="683">
        <f t="shared" si="5"/>
        <v>0</v>
      </c>
      <c r="Z40" s="205"/>
      <c r="AA40" s="205"/>
    </row>
    <row r="41" spans="1:27" s="203" customFormat="1" ht="17.25" customHeight="1" thickBot="1">
      <c r="A41" s="1161" t="s">
        <v>638</v>
      </c>
      <c r="B41" s="1162"/>
      <c r="C41" s="206" t="s">
        <v>82</v>
      </c>
      <c r="D41" s="732">
        <v>0</v>
      </c>
      <c r="E41" s="687" t="s">
        <v>1018</v>
      </c>
      <c r="F41" s="692" t="s">
        <v>1018</v>
      </c>
      <c r="G41" s="687" t="s">
        <v>1018</v>
      </c>
      <c r="H41" s="691">
        <f>IF(H$26=0,"",ROUND((IF(ROUNDDOWN(H$26,-3)&gt;1500000,1500000,ROUNDDOWN(H$26,-3))*$D41/1000),0))</f>
      </c>
      <c r="I41" s="687" t="s">
        <v>1018</v>
      </c>
      <c r="J41" s="687" t="s">
        <v>1018</v>
      </c>
      <c r="K41" s="688" t="s">
        <v>1018</v>
      </c>
      <c r="L41" s="617">
        <f>IF(L$26=0,"",ROUND((IF(ROUNDDOWN(L$26,-3)&gt;1500000,1500000,ROUNDDOWN(L$26,-3))*$D41/1000),0))</f>
      </c>
      <c r="M41" s="693" t="s">
        <v>1018</v>
      </c>
      <c r="N41" s="694" t="s">
        <v>1018</v>
      </c>
      <c r="O41" s="694" t="s">
        <v>1018</v>
      </c>
      <c r="P41" s="693" t="s">
        <v>1018</v>
      </c>
      <c r="Q41" s="694" t="s">
        <v>1018</v>
      </c>
      <c r="R41" s="617">
        <f>IF(R$26=0,"",ROUND((IF(ROUNDDOWN(R$26,-3)&gt;1500000,1500000,ROUNDDOWN(R$26,-3))*$D41/1000),0))</f>
      </c>
      <c r="S41" s="694" t="s">
        <v>1018</v>
      </c>
      <c r="T41" s="683">
        <f t="shared" si="5"/>
        <v>0</v>
      </c>
      <c r="Z41" s="205"/>
      <c r="AA41" s="205"/>
    </row>
    <row r="42" spans="1:27" s="203" customFormat="1" ht="17.25" customHeight="1" thickBot="1">
      <c r="A42" s="1161" t="s">
        <v>638</v>
      </c>
      <c r="B42" s="1162"/>
      <c r="C42" s="206" t="s">
        <v>82</v>
      </c>
      <c r="D42" s="732">
        <v>0</v>
      </c>
      <c r="E42" s="687" t="s">
        <v>1018</v>
      </c>
      <c r="F42" s="692" t="s">
        <v>1018</v>
      </c>
      <c r="G42" s="687" t="s">
        <v>1018</v>
      </c>
      <c r="H42" s="691">
        <f>IF(H$26=0,"",ROUND((IF(ROUNDDOWN(H$26,-3)&gt;1500000,1500000,ROUNDDOWN(H$26,-3))*$D42/1000),0))</f>
      </c>
      <c r="I42" s="687" t="s">
        <v>1018</v>
      </c>
      <c r="J42" s="687" t="s">
        <v>1018</v>
      </c>
      <c r="K42" s="688" t="s">
        <v>1018</v>
      </c>
      <c r="L42" s="617">
        <f>IF(L$26=0,"",ROUND((IF(ROUNDDOWN(L$26,-3)&gt;1500000,1500000,ROUNDDOWN(L$26,-3))*$D42/1000),0))</f>
      </c>
      <c r="M42" s="693" t="s">
        <v>1018</v>
      </c>
      <c r="N42" s="694" t="s">
        <v>1018</v>
      </c>
      <c r="O42" s="694" t="s">
        <v>1018</v>
      </c>
      <c r="P42" s="693" t="s">
        <v>1018</v>
      </c>
      <c r="Q42" s="694" t="s">
        <v>1018</v>
      </c>
      <c r="R42" s="617">
        <f>IF(R$26=0,"",ROUND((IF(ROUNDDOWN(R$26,-3)&gt;1500000,1500000,ROUNDDOWN(R$26,-3))*$D42/1000),0))</f>
      </c>
      <c r="S42" s="694" t="s">
        <v>1018</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OR('賃金台帳(6)'!#REF!&gt;=1501000,$G$26&gt;=1501000,$L$26&gt;=1501000,$P$26&gt;=1501000,'賃金台帳(6)'!#REF!&gt;=1501000)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codeName="Sheet42">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IF('対象者一覧表'!E16="","",'対象者一覧表'!E16)</f>
        <v>製造部</v>
      </c>
      <c r="C6" s="1126"/>
      <c r="D6" s="750">
        <f>IF('対象者一覧表'!F16="","",'対象者一覧表'!F16)</f>
      </c>
      <c r="G6" s="707"/>
      <c r="H6" s="707"/>
      <c r="I6" s="707"/>
      <c r="K6" s="90"/>
      <c r="L6" s="15" t="s">
        <v>833</v>
      </c>
      <c r="N6" s="93"/>
      <c r="O6" s="93"/>
      <c r="P6" s="93"/>
      <c r="Q6"/>
      <c r="R6"/>
      <c r="S6"/>
      <c r="T6"/>
      <c r="U6"/>
      <c r="V6"/>
      <c r="W6" s="707"/>
      <c r="X6" s="707"/>
    </row>
    <row r="7" spans="1:24" ht="18" customHeight="1">
      <c r="A7" s="752" t="s">
        <v>67</v>
      </c>
      <c r="B7" s="1126" t="str">
        <f>IF('対象者一覧表'!D16="","",'対象者一覧表'!D16)</f>
        <v>後藤　午太郎</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IF('対象者一覧表'!H16="","",'対象者一覧表'!H16)</f>
        <v>25745</v>
      </c>
      <c r="C8" s="1127"/>
      <c r="D8" s="754">
        <f>IF(B8="","",DATEDIF(B8,E13,"Y"))</f>
        <v>44</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667</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696</v>
      </c>
      <c r="I12"/>
      <c r="J12" s="217"/>
      <c r="L12" s="217" t="s">
        <v>696</v>
      </c>
      <c r="R12" s="217" t="s">
        <v>696</v>
      </c>
    </row>
    <row r="13" spans="1:27" ht="15" customHeight="1" thickBot="1">
      <c r="A13" s="1130" t="s">
        <v>700</v>
      </c>
      <c r="B13" s="1131"/>
      <c r="C13" s="1130" t="s">
        <v>69</v>
      </c>
      <c r="D13" s="1131"/>
      <c r="E13" s="703">
        <v>41943</v>
      </c>
      <c r="F13" s="704" t="s">
        <v>836</v>
      </c>
      <c r="G13" s="704" t="s">
        <v>699</v>
      </c>
      <c r="H13" s="705" t="s">
        <v>70</v>
      </c>
      <c r="I13" s="703">
        <v>42035</v>
      </c>
      <c r="J13" s="704" t="s">
        <v>831</v>
      </c>
      <c r="K13" s="704" t="s">
        <v>125</v>
      </c>
      <c r="L13" s="704" t="s">
        <v>70</v>
      </c>
      <c r="M13" s="704" t="s">
        <v>126</v>
      </c>
      <c r="N13" s="704" t="s">
        <v>99</v>
      </c>
      <c r="O13" s="704" t="s">
        <v>832</v>
      </c>
      <c r="P13" s="704" t="s">
        <v>1010</v>
      </c>
      <c r="Q13" s="704" t="s">
        <v>830</v>
      </c>
      <c r="R13" s="704" t="s">
        <v>70</v>
      </c>
      <c r="S13" s="704" t="s">
        <v>1013</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836</v>
      </c>
      <c r="G31" s="704" t="s">
        <v>699</v>
      </c>
      <c r="H31" s="705" t="s">
        <v>70</v>
      </c>
      <c r="I31" s="703">
        <v>42035</v>
      </c>
      <c r="J31" s="704" t="s">
        <v>831</v>
      </c>
      <c r="K31" s="704" t="s">
        <v>125</v>
      </c>
      <c r="L31" s="704" t="s">
        <v>70</v>
      </c>
      <c r="M31" s="704" t="s">
        <v>126</v>
      </c>
      <c r="N31" s="704" t="s">
        <v>99</v>
      </c>
      <c r="O31" s="704" t="s">
        <v>832</v>
      </c>
      <c r="P31" s="704" t="s">
        <v>1010</v>
      </c>
      <c r="Q31" s="704" t="s">
        <v>830</v>
      </c>
      <c r="R31" s="704" t="s">
        <v>70</v>
      </c>
      <c r="S31" s="704" t="s">
        <v>1013</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787</v>
      </c>
      <c r="N34" s="685" t="s">
        <v>787</v>
      </c>
      <c r="O34" s="685" t="s">
        <v>787</v>
      </c>
      <c r="P34" s="684" t="s">
        <v>787</v>
      </c>
      <c r="Q34" s="685" t="s">
        <v>787</v>
      </c>
      <c r="R34" s="685" t="s">
        <v>787</v>
      </c>
      <c r="S34" s="685" t="s">
        <v>787</v>
      </c>
      <c r="T34" s="686">
        <f t="shared" si="5"/>
        <v>0</v>
      </c>
      <c r="Z34" s="205"/>
      <c r="AA34" s="205"/>
    </row>
    <row r="35" spans="1:27" s="203" customFormat="1" ht="17.25" customHeight="1" thickBot="1">
      <c r="A35" s="1159" t="s">
        <v>703</v>
      </c>
      <c r="B35" s="1160"/>
      <c r="C35" s="342" t="s">
        <v>82</v>
      </c>
      <c r="D35" s="732">
        <v>0</v>
      </c>
      <c r="E35" s="687" t="s">
        <v>787</v>
      </c>
      <c r="F35" s="684" t="s">
        <v>787</v>
      </c>
      <c r="G35" s="685" t="s">
        <v>787</v>
      </c>
      <c r="H35" s="685" t="s">
        <v>787</v>
      </c>
      <c r="I35" s="685" t="s">
        <v>787</v>
      </c>
      <c r="J35" s="685" t="s">
        <v>787</v>
      </c>
      <c r="K35" s="689" t="s">
        <v>787</v>
      </c>
      <c r="L35" s="685" t="s">
        <v>787</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787</v>
      </c>
      <c r="T36" s="683">
        <f t="shared" si="5"/>
        <v>0</v>
      </c>
      <c r="Z36" s="205"/>
      <c r="AA36" s="205"/>
    </row>
    <row r="37" spans="1:27" s="203" customFormat="1" ht="17.25" customHeight="1" thickBot="1">
      <c r="A37" s="1161" t="s">
        <v>1020</v>
      </c>
      <c r="B37" s="1162"/>
      <c r="C37" s="343" t="s">
        <v>82</v>
      </c>
      <c r="D37" s="733">
        <v>0</v>
      </c>
      <c r="E37" s="687" t="s">
        <v>787</v>
      </c>
      <c r="F37" s="684" t="s">
        <v>787</v>
      </c>
      <c r="G37" s="685" t="s">
        <v>787</v>
      </c>
      <c r="H37" s="685" t="s">
        <v>787</v>
      </c>
      <c r="I37" s="685" t="s">
        <v>787</v>
      </c>
      <c r="J37" s="685" t="s">
        <v>787</v>
      </c>
      <c r="K37" s="689" t="s">
        <v>787</v>
      </c>
      <c r="L37" s="685" t="s">
        <v>787</v>
      </c>
      <c r="M37" s="684" t="s">
        <v>787</v>
      </c>
      <c r="N37" s="685" t="s">
        <v>787</v>
      </c>
      <c r="O37" s="685" t="s">
        <v>787</v>
      </c>
      <c r="P37" s="684" t="s">
        <v>787</v>
      </c>
      <c r="Q37" s="685" t="s">
        <v>787</v>
      </c>
      <c r="R37" s="685" t="s">
        <v>787</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787</v>
      </c>
      <c r="I39" s="617">
        <f t="shared" si="7"/>
      </c>
      <c r="J39" s="617">
        <f t="shared" si="7"/>
      </c>
      <c r="K39" s="617">
        <f t="shared" si="7"/>
      </c>
      <c r="L39" s="687" t="s">
        <v>787</v>
      </c>
      <c r="M39" s="617">
        <f t="shared" si="8"/>
      </c>
      <c r="N39" s="617">
        <f t="shared" si="8"/>
      </c>
      <c r="O39" s="617">
        <f t="shared" si="8"/>
      </c>
      <c r="P39" s="617">
        <f t="shared" si="8"/>
      </c>
      <c r="Q39" s="617">
        <f t="shared" si="8"/>
      </c>
      <c r="R39" s="687" t="s">
        <v>787</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787</v>
      </c>
      <c r="I40" s="617">
        <f t="shared" si="7"/>
      </c>
      <c r="J40" s="617">
        <f t="shared" si="7"/>
      </c>
      <c r="K40" s="617">
        <f t="shared" si="7"/>
      </c>
      <c r="L40" s="687" t="s">
        <v>787</v>
      </c>
      <c r="M40" s="617">
        <f t="shared" si="8"/>
      </c>
      <c r="N40" s="617">
        <f t="shared" si="8"/>
      </c>
      <c r="O40" s="617">
        <f t="shared" si="8"/>
      </c>
      <c r="P40" s="617">
        <f t="shared" si="8"/>
      </c>
      <c r="Q40" s="617">
        <f t="shared" si="8"/>
      </c>
      <c r="R40" s="687" t="s">
        <v>787</v>
      </c>
      <c r="S40" s="617">
        <f>IF(S$28=0,"",ROUND(S$28*$D40/1000,0))</f>
      </c>
      <c r="T40" s="683">
        <f t="shared" si="5"/>
        <v>0</v>
      </c>
      <c r="Z40" s="205"/>
      <c r="AA40" s="205"/>
    </row>
    <row r="41" spans="1:27" s="203" customFormat="1" ht="17.25" customHeight="1" thickBot="1">
      <c r="A41" s="1161" t="s">
        <v>638</v>
      </c>
      <c r="B41" s="1162"/>
      <c r="C41" s="206" t="s">
        <v>82</v>
      </c>
      <c r="D41" s="732">
        <v>0</v>
      </c>
      <c r="E41" s="687" t="s">
        <v>787</v>
      </c>
      <c r="F41" s="692" t="s">
        <v>787</v>
      </c>
      <c r="G41" s="687" t="s">
        <v>787</v>
      </c>
      <c r="H41" s="691">
        <f>IF(H$26=0,"",ROUND((IF(ROUNDDOWN(H$26,-3)&gt;1500000,1500000,ROUNDDOWN(H$26,-3))*$D41/1000),0))</f>
      </c>
      <c r="I41" s="687" t="s">
        <v>787</v>
      </c>
      <c r="J41" s="687" t="s">
        <v>787</v>
      </c>
      <c r="K41" s="688" t="s">
        <v>787</v>
      </c>
      <c r="L41" s="617">
        <f>IF(L$26=0,"",ROUND((IF(ROUNDDOWN(L$26,-3)&gt;1500000,1500000,ROUNDDOWN(L$26,-3))*$D41/1000),0))</f>
      </c>
      <c r="M41" s="693" t="s">
        <v>787</v>
      </c>
      <c r="N41" s="694" t="s">
        <v>787</v>
      </c>
      <c r="O41" s="694" t="s">
        <v>787</v>
      </c>
      <c r="P41" s="693" t="s">
        <v>787</v>
      </c>
      <c r="Q41" s="694" t="s">
        <v>787</v>
      </c>
      <c r="R41" s="617">
        <f>IF(R$26=0,"",ROUND((IF(ROUNDDOWN(R$26,-3)&gt;1500000,1500000,ROUNDDOWN(R$26,-3))*$D41/1000),0))</f>
      </c>
      <c r="S41" s="694" t="s">
        <v>787</v>
      </c>
      <c r="T41" s="683">
        <f t="shared" si="5"/>
        <v>0</v>
      </c>
      <c r="Z41" s="205"/>
      <c r="AA41" s="205"/>
    </row>
    <row r="42" spans="1:27" s="203" customFormat="1" ht="17.25" customHeight="1" thickBot="1">
      <c r="A42" s="1161" t="s">
        <v>638</v>
      </c>
      <c r="B42" s="1162"/>
      <c r="C42" s="206" t="s">
        <v>82</v>
      </c>
      <c r="D42" s="732">
        <v>0</v>
      </c>
      <c r="E42" s="687" t="s">
        <v>787</v>
      </c>
      <c r="F42" s="692" t="s">
        <v>787</v>
      </c>
      <c r="G42" s="687" t="s">
        <v>787</v>
      </c>
      <c r="H42" s="691">
        <f>IF(H$26=0,"",ROUND((IF(ROUNDDOWN(H$26,-3)&gt;1500000,1500000,ROUNDDOWN(H$26,-3))*$D42/1000),0))</f>
      </c>
      <c r="I42" s="687" t="s">
        <v>787</v>
      </c>
      <c r="J42" s="687" t="s">
        <v>787</v>
      </c>
      <c r="K42" s="688" t="s">
        <v>787</v>
      </c>
      <c r="L42" s="617">
        <f>IF(L$26=0,"",ROUND((IF(ROUNDDOWN(L$26,-3)&gt;1500000,1500000,ROUNDDOWN(L$26,-3))*$D42/1000),0))</f>
      </c>
      <c r="M42" s="693" t="s">
        <v>787</v>
      </c>
      <c r="N42" s="694" t="s">
        <v>787</v>
      </c>
      <c r="O42" s="694" t="s">
        <v>787</v>
      </c>
      <c r="P42" s="693" t="s">
        <v>787</v>
      </c>
      <c r="Q42" s="694" t="s">
        <v>787</v>
      </c>
      <c r="R42" s="617">
        <f>IF(R$26=0,"",ROUND((IF(ROUNDDOWN(R$26,-3)&gt;1500000,1500000,ROUNDDOWN(R$26,-3))*$D42/1000),0))</f>
      </c>
      <c r="S42" s="694" t="s">
        <v>787</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OR('賃金台帳(7)'!#REF!&gt;=1501000,$G$26&gt;=1501000,$L$26&gt;=1501000,$P$26&gt;=1501000,'賃金台帳(7)'!#REF!&gt;=1501000)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sheetPr codeName="Sheet4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IF('対象者一覧表'!E17="","",'対象者一覧表'!E17)</f>
        <v>製造部</v>
      </c>
      <c r="C6" s="1126"/>
      <c r="D6" s="750" t="str">
        <f>IF('対象者一覧表'!F17="","",'対象者一覧表'!F17)</f>
        <v>チーフ</v>
      </c>
      <c r="G6" s="707"/>
      <c r="H6" s="707"/>
      <c r="I6" s="707"/>
      <c r="K6" s="90"/>
      <c r="L6" s="15" t="s">
        <v>833</v>
      </c>
      <c r="N6" s="93"/>
      <c r="O6" s="93"/>
      <c r="P6" s="93"/>
      <c r="Q6"/>
      <c r="R6"/>
      <c r="S6"/>
      <c r="T6"/>
      <c r="U6"/>
      <c r="V6"/>
      <c r="W6" s="707"/>
      <c r="X6" s="707"/>
    </row>
    <row r="7" spans="1:24" ht="18" customHeight="1">
      <c r="A7" s="752" t="s">
        <v>67</v>
      </c>
      <c r="B7" s="1126" t="str">
        <f>IF('対象者一覧表'!D17="","",'対象者一覧表'!D17)</f>
        <v>太田　未来</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IF('対象者一覧表'!H17="","",'対象者一覧表'!H17)</f>
        <v>25746</v>
      </c>
      <c r="C8" s="1127"/>
      <c r="D8" s="754">
        <f>IF(B8="","",DATEDIF(B8,E13,"Y"))</f>
        <v>44</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1031</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1032</v>
      </c>
      <c r="I12"/>
      <c r="J12" s="217"/>
      <c r="L12" s="217" t="s">
        <v>1032</v>
      </c>
      <c r="R12" s="217" t="s">
        <v>1032</v>
      </c>
    </row>
    <row r="13" spans="1:27" ht="15" customHeight="1" thickBot="1">
      <c r="A13" s="1130" t="s">
        <v>700</v>
      </c>
      <c r="B13" s="1131"/>
      <c r="C13" s="1130" t="s">
        <v>69</v>
      </c>
      <c r="D13" s="1131"/>
      <c r="E13" s="703">
        <v>41943</v>
      </c>
      <c r="F13" s="704" t="s">
        <v>1033</v>
      </c>
      <c r="G13" s="704" t="s">
        <v>699</v>
      </c>
      <c r="H13" s="705" t="s">
        <v>70</v>
      </c>
      <c r="I13" s="703">
        <v>42035</v>
      </c>
      <c r="J13" s="704" t="s">
        <v>1034</v>
      </c>
      <c r="K13" s="704" t="s">
        <v>125</v>
      </c>
      <c r="L13" s="704" t="s">
        <v>70</v>
      </c>
      <c r="M13" s="704" t="s">
        <v>126</v>
      </c>
      <c r="N13" s="704" t="s">
        <v>99</v>
      </c>
      <c r="O13" s="704" t="s">
        <v>1035</v>
      </c>
      <c r="P13" s="704" t="s">
        <v>1036</v>
      </c>
      <c r="Q13" s="704" t="s">
        <v>1037</v>
      </c>
      <c r="R13" s="704" t="s">
        <v>70</v>
      </c>
      <c r="S13" s="704" t="s">
        <v>1038</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1033</v>
      </c>
      <c r="G31" s="704" t="s">
        <v>699</v>
      </c>
      <c r="H31" s="705" t="s">
        <v>70</v>
      </c>
      <c r="I31" s="703">
        <v>42035</v>
      </c>
      <c r="J31" s="704" t="s">
        <v>1034</v>
      </c>
      <c r="K31" s="704" t="s">
        <v>125</v>
      </c>
      <c r="L31" s="704" t="s">
        <v>70</v>
      </c>
      <c r="M31" s="704" t="s">
        <v>126</v>
      </c>
      <c r="N31" s="704" t="s">
        <v>99</v>
      </c>
      <c r="O31" s="704" t="s">
        <v>1035</v>
      </c>
      <c r="P31" s="704" t="s">
        <v>1036</v>
      </c>
      <c r="Q31" s="704" t="s">
        <v>1037</v>
      </c>
      <c r="R31" s="704" t="s">
        <v>70</v>
      </c>
      <c r="S31" s="704" t="s">
        <v>1038</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1039</v>
      </c>
      <c r="N34" s="685" t="s">
        <v>1039</v>
      </c>
      <c r="O34" s="685" t="s">
        <v>1039</v>
      </c>
      <c r="P34" s="684" t="s">
        <v>1039</v>
      </c>
      <c r="Q34" s="685" t="s">
        <v>1039</v>
      </c>
      <c r="R34" s="685" t="s">
        <v>1039</v>
      </c>
      <c r="S34" s="685" t="s">
        <v>1039</v>
      </c>
      <c r="T34" s="686">
        <f t="shared" si="5"/>
        <v>0</v>
      </c>
      <c r="Z34" s="205"/>
      <c r="AA34" s="205"/>
    </row>
    <row r="35" spans="1:27" s="203" customFormat="1" ht="17.25" customHeight="1" thickBot="1">
      <c r="A35" s="1159" t="s">
        <v>703</v>
      </c>
      <c r="B35" s="1160"/>
      <c r="C35" s="342" t="s">
        <v>82</v>
      </c>
      <c r="D35" s="732">
        <v>0</v>
      </c>
      <c r="E35" s="687" t="s">
        <v>1039</v>
      </c>
      <c r="F35" s="684" t="s">
        <v>1039</v>
      </c>
      <c r="G35" s="685" t="s">
        <v>1039</v>
      </c>
      <c r="H35" s="685" t="s">
        <v>1039</v>
      </c>
      <c r="I35" s="685" t="s">
        <v>1039</v>
      </c>
      <c r="J35" s="685" t="s">
        <v>1039</v>
      </c>
      <c r="K35" s="689" t="s">
        <v>1039</v>
      </c>
      <c r="L35" s="685" t="s">
        <v>1039</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1039</v>
      </c>
      <c r="T36" s="683">
        <f t="shared" si="5"/>
        <v>0</v>
      </c>
      <c r="Z36" s="205"/>
      <c r="AA36" s="205"/>
    </row>
    <row r="37" spans="1:27" s="203" customFormat="1" ht="17.25" customHeight="1" thickBot="1">
      <c r="A37" s="1161" t="s">
        <v>1020</v>
      </c>
      <c r="B37" s="1162"/>
      <c r="C37" s="343" t="s">
        <v>82</v>
      </c>
      <c r="D37" s="733">
        <v>0</v>
      </c>
      <c r="E37" s="687" t="s">
        <v>1039</v>
      </c>
      <c r="F37" s="684" t="s">
        <v>1039</v>
      </c>
      <c r="G37" s="685" t="s">
        <v>1039</v>
      </c>
      <c r="H37" s="685" t="s">
        <v>1039</v>
      </c>
      <c r="I37" s="685" t="s">
        <v>1039</v>
      </c>
      <c r="J37" s="685" t="s">
        <v>1039</v>
      </c>
      <c r="K37" s="689" t="s">
        <v>1039</v>
      </c>
      <c r="L37" s="685" t="s">
        <v>1039</v>
      </c>
      <c r="M37" s="684" t="s">
        <v>1039</v>
      </c>
      <c r="N37" s="685" t="s">
        <v>1039</v>
      </c>
      <c r="O37" s="685" t="s">
        <v>1039</v>
      </c>
      <c r="P37" s="684" t="s">
        <v>1039</v>
      </c>
      <c r="Q37" s="685" t="s">
        <v>1039</v>
      </c>
      <c r="R37" s="685" t="s">
        <v>1039</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1039</v>
      </c>
      <c r="I39" s="617">
        <f t="shared" si="7"/>
      </c>
      <c r="J39" s="617">
        <f t="shared" si="7"/>
      </c>
      <c r="K39" s="617">
        <f t="shared" si="7"/>
      </c>
      <c r="L39" s="687" t="s">
        <v>1039</v>
      </c>
      <c r="M39" s="617">
        <f t="shared" si="8"/>
      </c>
      <c r="N39" s="617">
        <f t="shared" si="8"/>
      </c>
      <c r="O39" s="617">
        <f t="shared" si="8"/>
      </c>
      <c r="P39" s="617">
        <f t="shared" si="8"/>
      </c>
      <c r="Q39" s="617">
        <f t="shared" si="8"/>
      </c>
      <c r="R39" s="687" t="s">
        <v>1039</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1039</v>
      </c>
      <c r="I40" s="617">
        <f t="shared" si="7"/>
      </c>
      <c r="J40" s="617">
        <f t="shared" si="7"/>
      </c>
      <c r="K40" s="617">
        <f t="shared" si="7"/>
      </c>
      <c r="L40" s="687" t="s">
        <v>1039</v>
      </c>
      <c r="M40" s="617">
        <f t="shared" si="8"/>
      </c>
      <c r="N40" s="617">
        <f t="shared" si="8"/>
      </c>
      <c r="O40" s="617">
        <f t="shared" si="8"/>
      </c>
      <c r="P40" s="617">
        <f t="shared" si="8"/>
      </c>
      <c r="Q40" s="617">
        <f t="shared" si="8"/>
      </c>
      <c r="R40" s="687" t="s">
        <v>1039</v>
      </c>
      <c r="S40" s="617">
        <f>IF(S$28=0,"",ROUND(S$28*$D40/1000,0))</f>
      </c>
      <c r="T40" s="683">
        <f t="shared" si="5"/>
        <v>0</v>
      </c>
      <c r="Z40" s="205"/>
      <c r="AA40" s="205"/>
    </row>
    <row r="41" spans="1:27" s="203" customFormat="1" ht="17.25" customHeight="1" thickBot="1">
      <c r="A41" s="1161" t="s">
        <v>638</v>
      </c>
      <c r="B41" s="1162"/>
      <c r="C41" s="206" t="s">
        <v>82</v>
      </c>
      <c r="D41" s="732">
        <v>0</v>
      </c>
      <c r="E41" s="687" t="s">
        <v>1039</v>
      </c>
      <c r="F41" s="692" t="s">
        <v>1039</v>
      </c>
      <c r="G41" s="687" t="s">
        <v>1039</v>
      </c>
      <c r="H41" s="691">
        <f>IF(H$26=0,"",ROUND((IF(ROUNDDOWN(H$26,-3)&gt;1500000,1500000,ROUNDDOWN(H$26,-3))*$D41/1000),0))</f>
      </c>
      <c r="I41" s="687" t="s">
        <v>1039</v>
      </c>
      <c r="J41" s="687" t="s">
        <v>1039</v>
      </c>
      <c r="K41" s="688" t="s">
        <v>1039</v>
      </c>
      <c r="L41" s="617">
        <f>IF(L$26=0,"",ROUND((IF(ROUNDDOWN(L$26,-3)&gt;1500000,1500000,ROUNDDOWN(L$26,-3))*$D41/1000),0))</f>
      </c>
      <c r="M41" s="693" t="s">
        <v>1039</v>
      </c>
      <c r="N41" s="694" t="s">
        <v>1039</v>
      </c>
      <c r="O41" s="694" t="s">
        <v>1039</v>
      </c>
      <c r="P41" s="693" t="s">
        <v>1039</v>
      </c>
      <c r="Q41" s="694" t="s">
        <v>1039</v>
      </c>
      <c r="R41" s="617">
        <f>IF(R$26=0,"",ROUND((IF(ROUNDDOWN(R$26,-3)&gt;1500000,1500000,ROUNDDOWN(R$26,-3))*$D41/1000),0))</f>
      </c>
      <c r="S41" s="694" t="s">
        <v>1039</v>
      </c>
      <c r="T41" s="683">
        <f t="shared" si="5"/>
        <v>0</v>
      </c>
      <c r="Z41" s="205"/>
      <c r="AA41" s="205"/>
    </row>
    <row r="42" spans="1:27" s="203" customFormat="1" ht="17.25" customHeight="1" thickBot="1">
      <c r="A42" s="1161" t="s">
        <v>638</v>
      </c>
      <c r="B42" s="1162"/>
      <c r="C42" s="206" t="s">
        <v>82</v>
      </c>
      <c r="D42" s="732">
        <v>0</v>
      </c>
      <c r="E42" s="687" t="s">
        <v>1039</v>
      </c>
      <c r="F42" s="692" t="s">
        <v>1039</v>
      </c>
      <c r="G42" s="687" t="s">
        <v>1039</v>
      </c>
      <c r="H42" s="691">
        <f>IF(H$26=0,"",ROUND((IF(ROUNDDOWN(H$26,-3)&gt;1500000,1500000,ROUNDDOWN(H$26,-3))*$D42/1000),0))</f>
      </c>
      <c r="I42" s="687" t="s">
        <v>1039</v>
      </c>
      <c r="J42" s="687" t="s">
        <v>1039</v>
      </c>
      <c r="K42" s="688" t="s">
        <v>1039</v>
      </c>
      <c r="L42" s="617">
        <f>IF(L$26=0,"",ROUND((IF(ROUNDDOWN(L$26,-3)&gt;1500000,1500000,ROUNDDOWN(L$26,-3))*$D42/1000),0))</f>
      </c>
      <c r="M42" s="693" t="s">
        <v>1039</v>
      </c>
      <c r="N42" s="694" t="s">
        <v>1039</v>
      </c>
      <c r="O42" s="694" t="s">
        <v>1039</v>
      </c>
      <c r="P42" s="693" t="s">
        <v>1039</v>
      </c>
      <c r="Q42" s="694" t="s">
        <v>1039</v>
      </c>
      <c r="R42" s="617">
        <f>IF(R$26=0,"",ROUND((IF(ROUNDDOWN(R$26,-3)&gt;1500000,1500000,ROUNDDOWN(R$26,-3))*$D42/1000),0))</f>
      </c>
      <c r="S42" s="694" t="s">
        <v>1039</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OR('賃金台帳(8)'!#REF!&gt;=1501000,$G$26&gt;=1501000,$L$26&gt;=1501000,$P$26&gt;=1501000,'賃金台帳(8)'!#REF!&gt;=1501000)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9.xml><?xml version="1.0" encoding="utf-8"?>
<worksheet xmlns="http://schemas.openxmlformats.org/spreadsheetml/2006/main" xmlns:r="http://schemas.openxmlformats.org/officeDocument/2006/relationships">
  <sheetPr codeName="Sheet44">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IF('対象者一覧表'!E18="","",'対象者一覧表'!E18)</f>
        <v>製造部</v>
      </c>
      <c r="C6" s="1126"/>
      <c r="D6" s="750">
        <f>IF('対象者一覧表'!F18="","",'対象者一覧表'!F18)</f>
      </c>
      <c r="G6" s="707"/>
      <c r="H6" s="707"/>
      <c r="I6" s="707"/>
      <c r="K6" s="90"/>
      <c r="L6" s="15" t="s">
        <v>833</v>
      </c>
      <c r="N6" s="93"/>
      <c r="O6" s="93"/>
      <c r="P6" s="93"/>
      <c r="Q6"/>
      <c r="R6"/>
      <c r="S6"/>
      <c r="T6"/>
      <c r="U6"/>
      <c r="V6"/>
      <c r="W6" s="707"/>
      <c r="X6" s="707"/>
    </row>
    <row r="7" spans="1:24" ht="18" customHeight="1">
      <c r="A7" s="752" t="s">
        <v>67</v>
      </c>
      <c r="B7" s="1126" t="str">
        <f>IF('対象者一覧表'!D18="","",'対象者一覧表'!D18)</f>
        <v>原田　申也</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IF('対象者一覧表'!H18="","",'対象者一覧表'!H18)</f>
        <v>25747</v>
      </c>
      <c r="C8" s="1127"/>
      <c r="D8" s="754">
        <f>IF(B8="","",DATEDIF(B8,E13,"Y"))</f>
        <v>44</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1022</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1023</v>
      </c>
      <c r="I12"/>
      <c r="J12" s="217"/>
      <c r="L12" s="217" t="s">
        <v>1023</v>
      </c>
      <c r="R12" s="217" t="s">
        <v>1023</v>
      </c>
    </row>
    <row r="13" spans="1:27" ht="15" customHeight="1" thickBot="1">
      <c r="A13" s="1130" t="s">
        <v>700</v>
      </c>
      <c r="B13" s="1131"/>
      <c r="C13" s="1130" t="s">
        <v>69</v>
      </c>
      <c r="D13" s="1131"/>
      <c r="E13" s="703">
        <v>41943</v>
      </c>
      <c r="F13" s="704" t="s">
        <v>1024</v>
      </c>
      <c r="G13" s="704" t="s">
        <v>699</v>
      </c>
      <c r="H13" s="705" t="s">
        <v>70</v>
      </c>
      <c r="I13" s="703">
        <v>42035</v>
      </c>
      <c r="J13" s="704" t="s">
        <v>1025</v>
      </c>
      <c r="K13" s="704" t="s">
        <v>125</v>
      </c>
      <c r="L13" s="704" t="s">
        <v>70</v>
      </c>
      <c r="M13" s="704" t="s">
        <v>126</v>
      </c>
      <c r="N13" s="704" t="s">
        <v>99</v>
      </c>
      <c r="O13" s="704" t="s">
        <v>1026</v>
      </c>
      <c r="P13" s="704" t="s">
        <v>1027</v>
      </c>
      <c r="Q13" s="704" t="s">
        <v>1028</v>
      </c>
      <c r="R13" s="704" t="s">
        <v>70</v>
      </c>
      <c r="S13" s="704" t="s">
        <v>1029</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1024</v>
      </c>
      <c r="G31" s="704" t="s">
        <v>699</v>
      </c>
      <c r="H31" s="705" t="s">
        <v>70</v>
      </c>
      <c r="I31" s="703">
        <v>42035</v>
      </c>
      <c r="J31" s="704" t="s">
        <v>1025</v>
      </c>
      <c r="K31" s="704" t="s">
        <v>125</v>
      </c>
      <c r="L31" s="704" t="s">
        <v>70</v>
      </c>
      <c r="M31" s="704" t="s">
        <v>126</v>
      </c>
      <c r="N31" s="704" t="s">
        <v>99</v>
      </c>
      <c r="O31" s="704" t="s">
        <v>1026</v>
      </c>
      <c r="P31" s="704" t="s">
        <v>1027</v>
      </c>
      <c r="Q31" s="704" t="s">
        <v>1028</v>
      </c>
      <c r="R31" s="704" t="s">
        <v>70</v>
      </c>
      <c r="S31" s="704" t="s">
        <v>1029</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1030</v>
      </c>
      <c r="N34" s="685" t="s">
        <v>1030</v>
      </c>
      <c r="O34" s="685" t="s">
        <v>1030</v>
      </c>
      <c r="P34" s="684" t="s">
        <v>1030</v>
      </c>
      <c r="Q34" s="685" t="s">
        <v>1030</v>
      </c>
      <c r="R34" s="685" t="s">
        <v>1030</v>
      </c>
      <c r="S34" s="685" t="s">
        <v>1030</v>
      </c>
      <c r="T34" s="686">
        <f t="shared" si="5"/>
        <v>0</v>
      </c>
      <c r="Z34" s="205"/>
      <c r="AA34" s="205"/>
    </row>
    <row r="35" spans="1:27" s="203" customFormat="1" ht="17.25" customHeight="1" thickBot="1">
      <c r="A35" s="1159" t="s">
        <v>703</v>
      </c>
      <c r="B35" s="1160"/>
      <c r="C35" s="342" t="s">
        <v>82</v>
      </c>
      <c r="D35" s="732">
        <v>0</v>
      </c>
      <c r="E35" s="687" t="s">
        <v>1030</v>
      </c>
      <c r="F35" s="684" t="s">
        <v>1030</v>
      </c>
      <c r="G35" s="685" t="s">
        <v>1030</v>
      </c>
      <c r="H35" s="685" t="s">
        <v>1030</v>
      </c>
      <c r="I35" s="685" t="s">
        <v>1030</v>
      </c>
      <c r="J35" s="685" t="s">
        <v>1030</v>
      </c>
      <c r="K35" s="689" t="s">
        <v>1030</v>
      </c>
      <c r="L35" s="685" t="s">
        <v>1030</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1030</v>
      </c>
      <c r="T36" s="683">
        <f t="shared" si="5"/>
        <v>0</v>
      </c>
      <c r="Z36" s="205"/>
      <c r="AA36" s="205"/>
    </row>
    <row r="37" spans="1:27" s="203" customFormat="1" ht="17.25" customHeight="1" thickBot="1">
      <c r="A37" s="1161" t="s">
        <v>1020</v>
      </c>
      <c r="B37" s="1162"/>
      <c r="C37" s="343" t="s">
        <v>82</v>
      </c>
      <c r="D37" s="733">
        <v>0</v>
      </c>
      <c r="E37" s="687" t="s">
        <v>1030</v>
      </c>
      <c r="F37" s="684" t="s">
        <v>1030</v>
      </c>
      <c r="G37" s="685" t="s">
        <v>1030</v>
      </c>
      <c r="H37" s="685" t="s">
        <v>1030</v>
      </c>
      <c r="I37" s="685" t="s">
        <v>1030</v>
      </c>
      <c r="J37" s="685" t="s">
        <v>1030</v>
      </c>
      <c r="K37" s="689" t="s">
        <v>1030</v>
      </c>
      <c r="L37" s="685" t="s">
        <v>1030</v>
      </c>
      <c r="M37" s="684" t="s">
        <v>1030</v>
      </c>
      <c r="N37" s="685" t="s">
        <v>1030</v>
      </c>
      <c r="O37" s="685" t="s">
        <v>1030</v>
      </c>
      <c r="P37" s="684" t="s">
        <v>1030</v>
      </c>
      <c r="Q37" s="685" t="s">
        <v>1030</v>
      </c>
      <c r="R37" s="685" t="s">
        <v>1030</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1030</v>
      </c>
      <c r="I39" s="617">
        <f t="shared" si="7"/>
      </c>
      <c r="J39" s="617">
        <f t="shared" si="7"/>
      </c>
      <c r="K39" s="617">
        <f t="shared" si="7"/>
      </c>
      <c r="L39" s="687" t="s">
        <v>1030</v>
      </c>
      <c r="M39" s="617">
        <f t="shared" si="8"/>
      </c>
      <c r="N39" s="617">
        <f t="shared" si="8"/>
      </c>
      <c r="O39" s="617">
        <f t="shared" si="8"/>
      </c>
      <c r="P39" s="617">
        <f t="shared" si="8"/>
      </c>
      <c r="Q39" s="617">
        <f t="shared" si="8"/>
      </c>
      <c r="R39" s="687" t="s">
        <v>1030</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1030</v>
      </c>
      <c r="I40" s="617">
        <f t="shared" si="7"/>
      </c>
      <c r="J40" s="617">
        <f t="shared" si="7"/>
      </c>
      <c r="K40" s="617">
        <f t="shared" si="7"/>
      </c>
      <c r="L40" s="687" t="s">
        <v>1030</v>
      </c>
      <c r="M40" s="617">
        <f t="shared" si="8"/>
      </c>
      <c r="N40" s="617">
        <f t="shared" si="8"/>
      </c>
      <c r="O40" s="617">
        <f t="shared" si="8"/>
      </c>
      <c r="P40" s="617">
        <f t="shared" si="8"/>
      </c>
      <c r="Q40" s="617">
        <f t="shared" si="8"/>
      </c>
      <c r="R40" s="687" t="s">
        <v>1030</v>
      </c>
      <c r="S40" s="617">
        <f>IF(S$28=0,"",ROUND(S$28*$D40/1000,0))</f>
      </c>
      <c r="T40" s="683">
        <f t="shared" si="5"/>
        <v>0</v>
      </c>
      <c r="Z40" s="205"/>
      <c r="AA40" s="205"/>
    </row>
    <row r="41" spans="1:27" s="203" customFormat="1" ht="17.25" customHeight="1" thickBot="1">
      <c r="A41" s="1161" t="s">
        <v>638</v>
      </c>
      <c r="B41" s="1162"/>
      <c r="C41" s="206" t="s">
        <v>82</v>
      </c>
      <c r="D41" s="732">
        <v>0</v>
      </c>
      <c r="E41" s="687" t="s">
        <v>1030</v>
      </c>
      <c r="F41" s="692" t="s">
        <v>1030</v>
      </c>
      <c r="G41" s="687" t="s">
        <v>1030</v>
      </c>
      <c r="H41" s="691">
        <f>IF(H$26=0,"",ROUND((IF(ROUNDDOWN(H$26,-3)&gt;1500000,1500000,ROUNDDOWN(H$26,-3))*$D41/1000),0))</f>
      </c>
      <c r="I41" s="687" t="s">
        <v>1030</v>
      </c>
      <c r="J41" s="687" t="s">
        <v>1030</v>
      </c>
      <c r="K41" s="688" t="s">
        <v>1030</v>
      </c>
      <c r="L41" s="617">
        <f>IF(L$26=0,"",ROUND((IF(ROUNDDOWN(L$26,-3)&gt;1500000,1500000,ROUNDDOWN(L$26,-3))*$D41/1000),0))</f>
      </c>
      <c r="M41" s="693" t="s">
        <v>1030</v>
      </c>
      <c r="N41" s="694" t="s">
        <v>1030</v>
      </c>
      <c r="O41" s="694" t="s">
        <v>1030</v>
      </c>
      <c r="P41" s="693" t="s">
        <v>1030</v>
      </c>
      <c r="Q41" s="694" t="s">
        <v>1030</v>
      </c>
      <c r="R41" s="617">
        <f>IF(R$26=0,"",ROUND((IF(ROUNDDOWN(R$26,-3)&gt;1500000,1500000,ROUNDDOWN(R$26,-3))*$D41/1000),0))</f>
      </c>
      <c r="S41" s="694" t="s">
        <v>1030</v>
      </c>
      <c r="T41" s="683">
        <f t="shared" si="5"/>
        <v>0</v>
      </c>
      <c r="Z41" s="205"/>
      <c r="AA41" s="205"/>
    </row>
    <row r="42" spans="1:27" s="203" customFormat="1" ht="17.25" customHeight="1" thickBot="1">
      <c r="A42" s="1161" t="s">
        <v>638</v>
      </c>
      <c r="B42" s="1162"/>
      <c r="C42" s="206" t="s">
        <v>82</v>
      </c>
      <c r="D42" s="732">
        <v>0</v>
      </c>
      <c r="E42" s="687" t="s">
        <v>1030</v>
      </c>
      <c r="F42" s="692" t="s">
        <v>1030</v>
      </c>
      <c r="G42" s="687" t="s">
        <v>1030</v>
      </c>
      <c r="H42" s="691">
        <f>IF(H$26=0,"",ROUND((IF(ROUNDDOWN(H$26,-3)&gt;1500000,1500000,ROUNDDOWN(H$26,-3))*$D42/1000),0))</f>
      </c>
      <c r="I42" s="687" t="s">
        <v>1030</v>
      </c>
      <c r="J42" s="687" t="s">
        <v>1030</v>
      </c>
      <c r="K42" s="688" t="s">
        <v>1030</v>
      </c>
      <c r="L42" s="617">
        <f>IF(L$26=0,"",ROUND((IF(ROUNDDOWN(L$26,-3)&gt;1500000,1500000,ROUNDDOWN(L$26,-3))*$D42/1000),0))</f>
      </c>
      <c r="M42" s="693" t="s">
        <v>1030</v>
      </c>
      <c r="N42" s="694" t="s">
        <v>1030</v>
      </c>
      <c r="O42" s="694" t="s">
        <v>1030</v>
      </c>
      <c r="P42" s="693" t="s">
        <v>1030</v>
      </c>
      <c r="Q42" s="694" t="s">
        <v>1030</v>
      </c>
      <c r="R42" s="617">
        <f>IF(R$26=0,"",ROUND((IF(ROUNDDOWN(R$26,-3)&gt;1500000,1500000,ROUNDDOWN(R$26,-3))*$D42/1000),0))</f>
      </c>
      <c r="S42" s="694" t="s">
        <v>1030</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OR('賃金台帳(9)'!#REF!&gt;=1501000,$G$26&gt;=1501000,$L$26&gt;=1501000,$P$26&gt;=1501000,'賃金台帳(9)'!#REF!&gt;=1501000)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codeName="Sheet49">
    <tabColor theme="0" tint="-0.1499900072813034"/>
    <pageSetUpPr fitToPage="1"/>
  </sheetPr>
  <dimension ref="A1:BQ119"/>
  <sheetViews>
    <sheetView showGridLines="0" view="pageBreakPreview" zoomScale="70" zoomScaleNormal="75" zoomScaleSheetLayoutView="7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3.57421875" style="191" customWidth="1"/>
    <col min="2" max="2" width="11.57421875" style="191" customWidth="1"/>
    <col min="3" max="3" width="20.140625" style="191" customWidth="1"/>
    <col min="4" max="4" width="6.28125" style="191" customWidth="1"/>
    <col min="5" max="5" width="16.140625" style="191" customWidth="1"/>
    <col min="6" max="6" width="6.28125" style="191" customWidth="1"/>
    <col min="7" max="7" width="16.140625" style="191" customWidth="1"/>
    <col min="8" max="8" width="6.28125" style="191" customWidth="1"/>
    <col min="9" max="9" width="16.140625" style="191" customWidth="1"/>
    <col min="10" max="10" width="6.28125" style="191" customWidth="1"/>
    <col min="11" max="11" width="16.140625" style="191" customWidth="1"/>
    <col min="12" max="12" width="6.421875" style="220" hidden="1" customWidth="1"/>
    <col min="13" max="13" width="6.28125" style="191" customWidth="1"/>
    <col min="14" max="14" width="16.140625" style="191" customWidth="1"/>
    <col min="15" max="15" width="6.421875" style="191" customWidth="1"/>
    <col min="16" max="16" width="16.28125" style="191" customWidth="1"/>
    <col min="17" max="17" width="6.28125" style="191" customWidth="1"/>
    <col min="18" max="18" width="16.28125" style="191" customWidth="1"/>
    <col min="19" max="19" width="6.28125" style="191" customWidth="1"/>
    <col min="20" max="20" width="16.28125" style="191" customWidth="1"/>
    <col min="21" max="21" width="6.28125" style="191" customWidth="1"/>
    <col min="22" max="22" width="16.28125" style="191" customWidth="1"/>
    <col min="23" max="23" width="11.57421875" style="191" hidden="1" customWidth="1"/>
    <col min="24" max="24" width="24.7109375" style="191" hidden="1" customWidth="1"/>
    <col min="25" max="25" width="21.00390625" style="191" hidden="1" customWidth="1"/>
    <col min="26" max="26" width="5.28125" style="191" customWidth="1"/>
    <col min="27" max="27" width="47.140625" style="191" bestFit="1" customWidth="1"/>
    <col min="28" max="28" width="23.421875" style="255" customWidth="1"/>
    <col min="29" max="29" width="18.57421875" style="255" customWidth="1"/>
    <col min="30" max="30" width="23.421875" style="255" customWidth="1"/>
    <col min="31" max="31" width="8.28125" style="786" customWidth="1"/>
    <col min="32" max="32" width="23.421875" style="255" customWidth="1"/>
    <col min="33" max="33" width="26.28125" style="191" customWidth="1"/>
    <col min="34" max="34" width="18.28125" style="191" customWidth="1"/>
    <col min="35" max="36" width="19.7109375" style="220" customWidth="1"/>
    <col min="37" max="37" width="25.57421875" style="191" customWidth="1"/>
    <col min="38" max="38" width="16.140625" style="191" customWidth="1"/>
    <col min="39" max="39" width="16.8515625" style="191" customWidth="1"/>
    <col min="40" max="40" width="18.28125" style="191" customWidth="1"/>
    <col min="41" max="41" width="12.28125" style="191" customWidth="1"/>
    <col min="42" max="42" width="11.421875" style="191" bestFit="1" customWidth="1"/>
    <col min="43" max="43" width="10.421875" style="191" customWidth="1"/>
    <col min="44" max="44" width="16.8515625" style="220" customWidth="1"/>
    <col min="45" max="45" width="15.421875" style="220" bestFit="1" customWidth="1"/>
    <col min="46" max="46" width="12.421875" style="191" bestFit="1" customWidth="1"/>
    <col min="47" max="47" width="11.421875" style="191" bestFit="1" customWidth="1"/>
    <col min="48" max="48" width="45.00390625" style="191" bestFit="1" customWidth="1"/>
    <col min="49" max="49" width="4.57421875" style="191" bestFit="1" customWidth="1"/>
    <col min="50" max="50" width="11.140625" style="191" bestFit="1" customWidth="1"/>
    <col min="51" max="51" width="46.421875" style="191" bestFit="1" customWidth="1"/>
    <col min="52" max="52" width="6.00390625" style="191" bestFit="1" customWidth="1"/>
    <col min="53" max="53" width="52.421875" style="191" bestFit="1" customWidth="1"/>
    <col min="54" max="55" width="11.140625" style="191" bestFit="1" customWidth="1"/>
    <col min="56" max="56" width="6.7109375" style="191" bestFit="1" customWidth="1"/>
    <col min="57" max="57" width="45.57421875" style="191" bestFit="1" customWidth="1"/>
    <col min="58" max="58" width="10.28125" style="191" bestFit="1" customWidth="1"/>
    <col min="59" max="59" width="9.421875" style="191" bestFit="1" customWidth="1"/>
    <col min="60" max="60" width="4.57421875" style="191" bestFit="1" customWidth="1"/>
    <col min="61" max="61" width="8.421875" style="191" bestFit="1" customWidth="1"/>
    <col min="62" max="62" width="4.57421875" style="191" bestFit="1" customWidth="1"/>
    <col min="63" max="63" width="15.421875" style="191" bestFit="1" customWidth="1"/>
    <col min="64" max="64" width="4.57421875" style="191" bestFit="1" customWidth="1"/>
    <col min="65" max="65" width="18.28125" style="191" bestFit="1" customWidth="1"/>
    <col min="66" max="66" width="6.8515625" style="191" bestFit="1" customWidth="1"/>
    <col min="67" max="67" width="14.00390625" style="191" customWidth="1"/>
    <col min="68" max="68" width="13.8515625" style="191" customWidth="1"/>
    <col min="69" max="69" width="17.28125" style="191" customWidth="1"/>
    <col min="70" max="16384" width="9.00390625" style="191" customWidth="1"/>
  </cols>
  <sheetData>
    <row r="1" spans="2:32" s="219" customFormat="1" ht="25.5">
      <c r="B1" s="534"/>
      <c r="L1" s="233"/>
      <c r="M1" s="522"/>
      <c r="N1" s="522"/>
      <c r="O1" s="522"/>
      <c r="P1" s="522"/>
      <c r="Q1" s="522"/>
      <c r="R1" s="522"/>
      <c r="S1" s="522"/>
      <c r="T1" s="522"/>
      <c r="U1" s="522"/>
      <c r="V1" s="522"/>
      <c r="W1" s="522"/>
      <c r="X1" s="522"/>
      <c r="Y1" s="218"/>
      <c r="AB1" s="555"/>
      <c r="AC1" s="555"/>
      <c r="AD1" s="555"/>
      <c r="AE1" s="563"/>
      <c r="AF1" s="555"/>
    </row>
    <row r="2" spans="1:18" s="8" customFormat="1" ht="13.5">
      <c r="A2" s="13"/>
      <c r="E2" s="407"/>
      <c r="F2" s="406"/>
      <c r="H2" s="13"/>
      <c r="N2" s="13"/>
      <c r="O2" s="13"/>
      <c r="P2" s="13"/>
      <c r="R2" s="408"/>
    </row>
    <row r="3" spans="1:18" s="8" customFormat="1" ht="13.5">
      <c r="A3" s="13"/>
      <c r="B3" s="767" t="s">
        <v>946</v>
      </c>
      <c r="E3" s="407"/>
      <c r="F3" s="406"/>
      <c r="H3" s="13"/>
      <c r="N3" s="13"/>
      <c r="O3" s="13"/>
      <c r="P3" s="13"/>
      <c r="R3" s="408"/>
    </row>
    <row r="4" spans="1:18" s="8" customFormat="1" ht="13.5">
      <c r="A4" s="13"/>
      <c r="E4" s="407"/>
      <c r="F4" s="406"/>
      <c r="H4" s="13"/>
      <c r="N4" s="13"/>
      <c r="O4" s="13"/>
      <c r="P4" s="13"/>
      <c r="R4" s="408"/>
    </row>
    <row r="5" spans="2:32" s="219" customFormat="1" ht="18.75">
      <c r="B5" s="535" t="s">
        <v>668</v>
      </c>
      <c r="L5" s="233"/>
      <c r="M5" s="523"/>
      <c r="N5" s="524"/>
      <c r="O5" s="524"/>
      <c r="P5" s="525"/>
      <c r="R5" s="525"/>
      <c r="T5" s="525"/>
      <c r="U5" s="525"/>
      <c r="V5" s="525"/>
      <c r="W5" s="525"/>
      <c r="X5" s="144"/>
      <c r="Y5" s="221"/>
      <c r="AB5" s="555"/>
      <c r="AC5" s="555"/>
      <c r="AD5" s="555"/>
      <c r="AE5" s="563"/>
      <c r="AF5" s="555"/>
    </row>
    <row r="6" spans="12:45" ht="14.25" customHeight="1">
      <c r="L6" s="217"/>
      <c r="Q6" s="191"/>
      <c r="S6" s="191"/>
      <c r="AH6" s="220"/>
      <c r="AJ6" s="191"/>
      <c r="AQ6" s="220"/>
      <c r="AS6" s="191"/>
    </row>
    <row r="7" spans="12:45" ht="33" customHeight="1" thickBot="1">
      <c r="L7" s="217"/>
      <c r="U7" s="148"/>
      <c r="Y7" s="554"/>
      <c r="AH7" s="220"/>
      <c r="AJ7" s="191"/>
      <c r="AQ7" s="220"/>
      <c r="AS7" s="191"/>
    </row>
    <row r="8" spans="3:45" ht="24">
      <c r="C8" s="223"/>
      <c r="D8" s="223"/>
      <c r="E8" s="223"/>
      <c r="F8" s="223"/>
      <c r="G8" s="223"/>
      <c r="H8" s="223"/>
      <c r="I8" s="223"/>
      <c r="J8" s="223"/>
      <c r="K8" s="223"/>
      <c r="L8" s="787"/>
      <c r="M8" s="223"/>
      <c r="Y8" s="756"/>
      <c r="AA8" s="225" t="s">
        <v>670</v>
      </c>
      <c r="AB8" s="556" t="s">
        <v>121</v>
      </c>
      <c r="AC8" s="557" t="s">
        <v>132</v>
      </c>
      <c r="AD8" s="558" t="s">
        <v>138</v>
      </c>
      <c r="AE8" s="559" t="s">
        <v>135</v>
      </c>
      <c r="AF8" s="229" t="s">
        <v>133</v>
      </c>
      <c r="AG8" s="228" t="s">
        <v>138</v>
      </c>
      <c r="AH8" s="230" t="s">
        <v>141</v>
      </c>
      <c r="AI8" s="230" t="s">
        <v>136</v>
      </c>
      <c r="AJ8" s="227" t="s">
        <v>134</v>
      </c>
      <c r="AK8" s="228" t="s">
        <v>137</v>
      </c>
      <c r="AL8" s="226" t="s">
        <v>55</v>
      </c>
      <c r="AM8" s="231" t="s">
        <v>121</v>
      </c>
      <c r="AN8" s="231" t="s">
        <v>54</v>
      </c>
      <c r="AO8" s="231" t="s">
        <v>121</v>
      </c>
      <c r="AP8" s="231" t="s">
        <v>139</v>
      </c>
      <c r="AQ8" s="231" t="s">
        <v>121</v>
      </c>
      <c r="AR8" s="231" t="s">
        <v>140</v>
      </c>
      <c r="AS8" s="232" t="s">
        <v>121</v>
      </c>
    </row>
    <row r="9" spans="2:45" ht="30" customHeight="1">
      <c r="B9" s="1039" t="s">
        <v>121</v>
      </c>
      <c r="C9" s="517" t="s">
        <v>788</v>
      </c>
      <c r="D9" s="788"/>
      <c r="E9" s="788"/>
      <c r="F9" s="788"/>
      <c r="G9" s="789"/>
      <c r="H9" s="516"/>
      <c r="I9" s="785"/>
      <c r="J9" s="604"/>
      <c r="K9" s="790"/>
      <c r="P9" s="525" t="s">
        <v>790</v>
      </c>
      <c r="R9" s="525" t="s">
        <v>790</v>
      </c>
      <c r="T9" s="537" t="s">
        <v>947</v>
      </c>
      <c r="U9" s="536"/>
      <c r="V9" s="536"/>
      <c r="Y9" s="757"/>
      <c r="AA9" s="237" t="s">
        <v>753</v>
      </c>
      <c r="AB9" s="560" t="str">
        <f>IF(AC9-AD9&gt;=0,"○","×")</f>
        <v>○</v>
      </c>
      <c r="AC9" s="238">
        <v>10000000</v>
      </c>
      <c r="AD9" s="239">
        <f>$V$40</f>
        <v>9599996</v>
      </c>
      <c r="AE9" s="561" t="str">
        <f>IF(AG9&gt;=500000,"○","×")</f>
        <v>○</v>
      </c>
      <c r="AF9" s="240" t="s">
        <v>673</v>
      </c>
      <c r="AG9" s="239">
        <f>SUM($R$28:$R$29)</f>
        <v>6900000</v>
      </c>
      <c r="AH9" s="241"/>
      <c r="AI9" s="552" t="str">
        <f>IF(AK9&lt;=5000000,"○","×")</f>
        <v>○</v>
      </c>
      <c r="AJ9" s="551" t="s">
        <v>674</v>
      </c>
      <c r="AK9" s="239">
        <f>$V$40-SUM($V$28:$V$29)</f>
        <v>5000000</v>
      </c>
      <c r="AL9" s="242">
        <f>$T$33</f>
        <v>700000</v>
      </c>
      <c r="AM9" s="243" t="str">
        <f>IF($R$40/2-$R$33&gt;=0,"○","×")</f>
        <v>○</v>
      </c>
      <c r="AN9" s="244">
        <f>$T$34</f>
        <v>540000</v>
      </c>
      <c r="AO9" s="243" t="str">
        <f>IF($R$40/2-$R$34&gt;=0,"○","×")</f>
        <v>○</v>
      </c>
      <c r="AP9" s="244">
        <f>$T$33+$T$34</f>
        <v>1240000</v>
      </c>
      <c r="AQ9" s="243" t="str">
        <f>IF($R$40/2-($R$33+$R$34)&gt;=0,"○","×")</f>
        <v>○</v>
      </c>
      <c r="AR9" s="244">
        <f>$T$35</f>
        <v>600000</v>
      </c>
      <c r="AS9" s="245" t="str">
        <f>IF($R$40/3-$R$35&gt;=0,"○","×")</f>
        <v>○</v>
      </c>
    </row>
    <row r="10" spans="2:45" ht="28.5" customHeight="1">
      <c r="B10" s="1039"/>
      <c r="C10" s="605" t="str">
        <f>事業類型</f>
        <v>革新的サービス（一般型）</v>
      </c>
      <c r="D10" s="791"/>
      <c r="E10" s="791"/>
      <c r="F10" s="791"/>
      <c r="G10" s="792"/>
      <c r="H10" s="611"/>
      <c r="I10" s="606" t="str">
        <f>$AB$19</f>
        <v>試作開発＋設備投資</v>
      </c>
      <c r="J10" s="507"/>
      <c r="K10" s="793"/>
      <c r="P10" s="1040" t="s">
        <v>121</v>
      </c>
      <c r="Q10" s="1041" t="s">
        <v>778</v>
      </c>
      <c r="R10" s="1041"/>
      <c r="S10" s="1041"/>
      <c r="T10" s="1041"/>
      <c r="U10" s="1041"/>
      <c r="V10" s="1041"/>
      <c r="Y10" s="757"/>
      <c r="AA10" s="237" t="s">
        <v>754</v>
      </c>
      <c r="AB10" s="560" t="str">
        <f>IF(AC10-AD10&gt;=0,"○","×")</f>
        <v>×</v>
      </c>
      <c r="AC10" s="238">
        <v>7000000</v>
      </c>
      <c r="AD10" s="239">
        <f>$V$40</f>
        <v>9599996</v>
      </c>
      <c r="AE10" s="561" t="str">
        <f>IF(AG10&lt;500000,"○","×")</f>
        <v>×</v>
      </c>
      <c r="AF10" s="764" t="s">
        <v>948</v>
      </c>
      <c r="AG10" s="239">
        <f>SUM($R$28:$R$29)</f>
        <v>6900000</v>
      </c>
      <c r="AH10" s="241"/>
      <c r="AI10" s="552" t="s">
        <v>759</v>
      </c>
      <c r="AJ10" s="553" t="s">
        <v>759</v>
      </c>
      <c r="AK10" s="476" t="s">
        <v>760</v>
      </c>
      <c r="AL10" s="242">
        <f>$T$33</f>
        <v>700000</v>
      </c>
      <c r="AM10" s="243" t="str">
        <f>IF($R$40/2-$R$33&gt;=0,"○","×")</f>
        <v>○</v>
      </c>
      <c r="AN10" s="244">
        <f>$T$34</f>
        <v>540000</v>
      </c>
      <c r="AO10" s="243" t="str">
        <f>IF($R$40/2-$R$34&gt;=0,"○","×")</f>
        <v>○</v>
      </c>
      <c r="AP10" s="244">
        <f>$T$33+$T$34</f>
        <v>1240000</v>
      </c>
      <c r="AQ10" s="243" t="str">
        <f>IF($R$40/2-($R$33+$R$34)&gt;=0,"○","×")</f>
        <v>○</v>
      </c>
      <c r="AR10" s="244">
        <f>$T$35</f>
        <v>600000</v>
      </c>
      <c r="AS10" s="245" t="str">
        <f>IF($R$40/3-$R$35&gt;=0,"○","×")</f>
        <v>○</v>
      </c>
    </row>
    <row r="11" spans="2:45" ht="28.5" customHeight="1">
      <c r="B11" s="1028" t="str">
        <f>VLOOKUP($C$10,$AA$9:$AS$12,2,0)</f>
        <v>○</v>
      </c>
      <c r="C11" s="517" t="s">
        <v>132</v>
      </c>
      <c r="D11" s="788"/>
      <c r="E11" s="788"/>
      <c r="F11" s="788"/>
      <c r="G11" s="789"/>
      <c r="H11" s="518"/>
      <c r="I11" s="607"/>
      <c r="J11" s="604"/>
      <c r="K11" s="790"/>
      <c r="P11" s="1040"/>
      <c r="Q11" s="1041"/>
      <c r="R11" s="1041"/>
      <c r="S11" s="1041"/>
      <c r="T11" s="1041"/>
      <c r="U11" s="1041"/>
      <c r="V11" s="1041"/>
      <c r="Y11" s="758"/>
      <c r="AA11" s="237" t="s">
        <v>751</v>
      </c>
      <c r="AB11" s="560" t="str">
        <f>IF(AC11-AD11&gt;=0,"○","×")</f>
        <v>○</v>
      </c>
      <c r="AC11" s="238">
        <v>10000000</v>
      </c>
      <c r="AD11" s="239">
        <f>$V$40</f>
        <v>9599996</v>
      </c>
      <c r="AE11" s="561" t="str">
        <f>IF(AG11&gt;=500000,"○","×")</f>
        <v>○</v>
      </c>
      <c r="AF11" s="240" t="s">
        <v>673</v>
      </c>
      <c r="AG11" s="239">
        <f>SUM($R$28:$R$29)</f>
        <v>6900000</v>
      </c>
      <c r="AH11" s="241"/>
      <c r="AI11" s="552" t="str">
        <f>IF($AK$11&lt;=5000000,"○","×")</f>
        <v>○</v>
      </c>
      <c r="AJ11" s="553" t="s">
        <v>674</v>
      </c>
      <c r="AK11" s="239">
        <f>$V$40-SUM($V$28:$V$29)</f>
        <v>5000000</v>
      </c>
      <c r="AL11" s="242">
        <f>$T$33</f>
        <v>700000</v>
      </c>
      <c r="AM11" s="243" t="str">
        <f>IF($R$40/2-$R$33&gt;=0,"○","×")</f>
        <v>○</v>
      </c>
      <c r="AN11" s="244">
        <f>$T$34</f>
        <v>540000</v>
      </c>
      <c r="AO11" s="243" t="str">
        <f>IF($R$40/2-$R$34&gt;=0,"○","×")</f>
        <v>○</v>
      </c>
      <c r="AP11" s="244">
        <f>$T$33+$T$34</f>
        <v>1240000</v>
      </c>
      <c r="AQ11" s="243" t="str">
        <f>IF($R$40/2-($R$33+$R$34)&gt;=0,"○","×")</f>
        <v>○</v>
      </c>
      <c r="AR11" s="244">
        <f>$T$35</f>
        <v>600000</v>
      </c>
      <c r="AS11" s="245" t="str">
        <f>IF($R$40/3-$R$35&gt;=0,"○","×")</f>
        <v>○</v>
      </c>
    </row>
    <row r="12" spans="2:45" ht="24.75" thickBot="1">
      <c r="B12" s="1029"/>
      <c r="C12" s="519"/>
      <c r="D12" s="611"/>
      <c r="E12" s="611"/>
      <c r="F12" s="611"/>
      <c r="G12" s="606"/>
      <c r="H12" s="1042">
        <f>補助上限額</f>
        <v>10000000</v>
      </c>
      <c r="I12" s="1042"/>
      <c r="J12" s="1043"/>
      <c r="K12" s="790"/>
      <c r="P12" s="1028" t="str">
        <f>VLOOKUP($C$10,$AA$9:$AR$12,13,0)</f>
        <v>○</v>
      </c>
      <c r="Q12" s="1030" t="s">
        <v>779</v>
      </c>
      <c r="R12" s="1030"/>
      <c r="S12" s="1030"/>
      <c r="T12" s="1030"/>
      <c r="U12" s="1030"/>
      <c r="V12" s="1030"/>
      <c r="Y12" s="759"/>
      <c r="AA12" s="455" t="s">
        <v>752</v>
      </c>
      <c r="AB12" s="456" t="str">
        <f>IF(AC12-AD12&gt;=0,"○","×")</f>
        <v>○</v>
      </c>
      <c r="AC12" s="457">
        <v>50000000</v>
      </c>
      <c r="AD12" s="458">
        <f>$V$40</f>
        <v>9599996</v>
      </c>
      <c r="AE12" s="459" t="str">
        <f>IF(SUM($R$28:$R$28)&lt;500000,"○","×")</f>
        <v>×</v>
      </c>
      <c r="AF12" s="460" t="s">
        <v>675</v>
      </c>
      <c r="AG12" s="458">
        <f>$R$28</f>
        <v>4500000</v>
      </c>
      <c r="AH12" s="461"/>
      <c r="AI12" s="462" t="s">
        <v>949</v>
      </c>
      <c r="AJ12" s="463" t="s">
        <v>949</v>
      </c>
      <c r="AK12" s="464" t="s">
        <v>950</v>
      </c>
      <c r="AL12" s="895">
        <f>$T$33</f>
        <v>700000</v>
      </c>
      <c r="AM12" s="465" t="str">
        <f>IF($R$40/2-$R$33&gt;=0,"○","×")</f>
        <v>○</v>
      </c>
      <c r="AN12" s="896">
        <f>$T$34</f>
        <v>540000</v>
      </c>
      <c r="AO12" s="465" t="str">
        <f>IF($R$40/2-$R$34&gt;=0,"○","×")</f>
        <v>○</v>
      </c>
      <c r="AP12" s="896">
        <f>$T$33+$T$34</f>
        <v>1240000</v>
      </c>
      <c r="AQ12" s="465" t="str">
        <f>IF($R$40/2-($R$33+$R$34)&gt;=0,"○","×")</f>
        <v>○</v>
      </c>
      <c r="AR12" s="896">
        <f>$T$35</f>
        <v>600000</v>
      </c>
      <c r="AS12" s="466" t="str">
        <f>IF($R$40/3-$R$35&gt;=0,"○","×")</f>
        <v>○</v>
      </c>
    </row>
    <row r="13" spans="2:45" ht="28.5" customHeight="1">
      <c r="B13" s="1028" t="str">
        <f>VLOOKUP($C$10,$AA$9:$AS$12,5,0)</f>
        <v>○</v>
      </c>
      <c r="C13" s="517" t="s">
        <v>133</v>
      </c>
      <c r="D13" s="788"/>
      <c r="E13" s="788"/>
      <c r="F13" s="788"/>
      <c r="G13" s="789"/>
      <c r="H13" s="518"/>
      <c r="I13" s="608"/>
      <c r="J13" s="604"/>
      <c r="K13" s="790"/>
      <c r="P13" s="1029"/>
      <c r="Q13" s="1024">
        <f>VLOOKUP($C$10,$AA$9:$AR$12,12,0)</f>
        <v>700000</v>
      </c>
      <c r="R13" s="1025"/>
      <c r="S13" s="1025"/>
      <c r="T13" s="1025"/>
      <c r="U13" s="1025"/>
      <c r="V13" s="610"/>
      <c r="Y13" s="759"/>
      <c r="AA13" s="253"/>
      <c r="AB13" s="555"/>
      <c r="AC13" s="555"/>
      <c r="AD13" s="562" t="s">
        <v>676</v>
      </c>
      <c r="AE13" s="555"/>
      <c r="AF13" s="219"/>
      <c r="AG13" s="219"/>
      <c r="AH13" s="219"/>
      <c r="AI13" s="219"/>
      <c r="AJ13" s="219"/>
      <c r="AK13" s="219"/>
      <c r="AL13" s="219"/>
      <c r="AM13" s="219"/>
      <c r="AN13" s="219"/>
      <c r="AO13" s="219"/>
      <c r="AP13" s="219"/>
      <c r="AQ13" s="219"/>
      <c r="AR13" s="219"/>
      <c r="AS13" s="219"/>
    </row>
    <row r="14" spans="2:45" ht="37.5" customHeight="1">
      <c r="B14" s="1029"/>
      <c r="C14" s="1037" t="str">
        <f>VLOOKUP($C$10,$AA$9:$AR$12,6,0)</f>
        <v>機械装置費で補助対象経費にして単価５０万円以上の設備投資が必要</v>
      </c>
      <c r="D14" s="1038"/>
      <c r="E14" s="1038"/>
      <c r="F14" s="1038"/>
      <c r="G14" s="1038"/>
      <c r="H14" s="1033">
        <f>VLOOKUP($C$10,$AA$9:$AR$12,7,0)</f>
        <v>6900000</v>
      </c>
      <c r="I14" s="1033"/>
      <c r="J14" s="1034"/>
      <c r="K14" s="794"/>
      <c r="P14" s="1028" t="str">
        <f>VLOOKUP($C$10,$AA$9:$AR$12,15,0)</f>
        <v>○</v>
      </c>
      <c r="Q14" s="1030" t="s">
        <v>780</v>
      </c>
      <c r="R14" s="1030"/>
      <c r="S14" s="1030"/>
      <c r="T14" s="1030"/>
      <c r="U14" s="1030"/>
      <c r="V14" s="1030"/>
      <c r="Y14" s="759"/>
      <c r="AA14" s="254">
        <v>1</v>
      </c>
      <c r="AB14" s="563">
        <v>2</v>
      </c>
      <c r="AC14" s="564">
        <v>3</v>
      </c>
      <c r="AD14" s="563">
        <v>4</v>
      </c>
      <c r="AE14" s="564">
        <v>5</v>
      </c>
      <c r="AF14" s="233">
        <v>6</v>
      </c>
      <c r="AG14" s="254">
        <v>7</v>
      </c>
      <c r="AH14" s="233">
        <v>8</v>
      </c>
      <c r="AI14" s="254">
        <v>9</v>
      </c>
      <c r="AJ14" s="233">
        <v>10</v>
      </c>
      <c r="AK14" s="254">
        <v>11</v>
      </c>
      <c r="AL14" s="233">
        <v>12</v>
      </c>
      <c r="AM14" s="254">
        <v>13</v>
      </c>
      <c r="AN14" s="233">
        <v>14</v>
      </c>
      <c r="AO14" s="254">
        <v>15</v>
      </c>
      <c r="AP14" s="233">
        <v>16</v>
      </c>
      <c r="AQ14" s="254">
        <v>17</v>
      </c>
      <c r="AR14" s="233">
        <v>18</v>
      </c>
      <c r="AS14" s="253">
        <v>19</v>
      </c>
    </row>
    <row r="15" spans="2:45" ht="30" customHeight="1" thickBot="1">
      <c r="B15" s="1035" t="str">
        <f>VLOOKUP($C$10,$AA$9:$AR$12,9,0)</f>
        <v>○</v>
      </c>
      <c r="C15" s="517" t="s">
        <v>782</v>
      </c>
      <c r="D15" s="788"/>
      <c r="E15" s="788"/>
      <c r="F15" s="788"/>
      <c r="G15" s="789"/>
      <c r="H15" s="518"/>
      <c r="I15" s="609"/>
      <c r="J15" s="604"/>
      <c r="K15" s="790"/>
      <c r="P15" s="1029"/>
      <c r="Q15" s="1024">
        <f>VLOOKUP($C$10,$AA$9:$AR$12,14,0)</f>
        <v>540000</v>
      </c>
      <c r="R15" s="1025"/>
      <c r="S15" s="1025"/>
      <c r="T15" s="1025"/>
      <c r="U15" s="1025"/>
      <c r="V15" s="610"/>
      <c r="AA15" s="265" t="s">
        <v>678</v>
      </c>
      <c r="AB15" s="574"/>
      <c r="AC15" s="574"/>
      <c r="AD15" s="554"/>
      <c r="AH15" s="220"/>
      <c r="AJ15" s="191"/>
      <c r="AQ15" s="220"/>
      <c r="AS15" s="191"/>
    </row>
    <row r="16" spans="2:69" s="255" customFormat="1" ht="35.25" customHeight="1" thickTop="1">
      <c r="B16" s="1036"/>
      <c r="C16" s="1037" t="str">
        <f>VLOOKUP($C$10,$AA$9:$AS$12,10,0)</f>
        <v>機械装置費以外の経費の補助金交付申請額は５００万円以下</v>
      </c>
      <c r="D16" s="1038"/>
      <c r="E16" s="1038"/>
      <c r="F16" s="1038"/>
      <c r="G16" s="1038"/>
      <c r="H16" s="1033">
        <f>VLOOKUP($C$10,$AA$9:$AR$12,11,0)</f>
        <v>5000000</v>
      </c>
      <c r="I16" s="1033"/>
      <c r="J16" s="1034"/>
      <c r="K16" s="794"/>
      <c r="P16" s="1028" t="str">
        <f>VLOOKUP($C$10,$AA$9:$AR$12,17,0)</f>
        <v>○</v>
      </c>
      <c r="Q16" s="1030" t="s">
        <v>781</v>
      </c>
      <c r="R16" s="1030"/>
      <c r="S16" s="1030"/>
      <c r="T16" s="1030"/>
      <c r="U16" s="1030"/>
      <c r="V16" s="1030"/>
      <c r="W16" s="191"/>
      <c r="AA16" s="453" t="s">
        <v>681</v>
      </c>
      <c r="AB16" s="1022" t="s">
        <v>162</v>
      </c>
      <c r="AC16" s="1022"/>
      <c r="AD16" s="1023"/>
      <c r="AE16" s="786"/>
      <c r="BQ16" s="485"/>
    </row>
    <row r="17" spans="12:66" s="255" customFormat="1" ht="30" customHeight="1">
      <c r="L17" s="786"/>
      <c r="P17" s="1029"/>
      <c r="Q17" s="1024">
        <f>VLOOKUP($C$10,$AA$9:$AR$12,16,0)</f>
        <v>1240000</v>
      </c>
      <c r="R17" s="1025"/>
      <c r="S17" s="1025"/>
      <c r="T17" s="1025"/>
      <c r="U17" s="1025"/>
      <c r="V17" s="610"/>
      <c r="AA17" s="454" t="s">
        <v>682</v>
      </c>
      <c r="AB17" s="1026">
        <v>0.08</v>
      </c>
      <c r="AC17" s="1026"/>
      <c r="AD17" s="1027"/>
      <c r="AE17" s="786"/>
      <c r="BN17" s="485"/>
    </row>
    <row r="18" spans="12:66" s="255" customFormat="1" ht="30" customHeight="1">
      <c r="L18" s="786"/>
      <c r="P18" s="1028" t="str">
        <f>VLOOKUP($C$10,$AA$9:$AS$12,19,0)</f>
        <v>○</v>
      </c>
      <c r="Q18" s="1030" t="s">
        <v>783</v>
      </c>
      <c r="R18" s="1030"/>
      <c r="S18" s="1030"/>
      <c r="T18" s="1030"/>
      <c r="U18" s="1030"/>
      <c r="V18" s="1030"/>
      <c r="AA18" s="268" t="s">
        <v>683</v>
      </c>
      <c r="AB18" s="1031"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f>
        <v>革新的サービス（一般型）</v>
      </c>
      <c r="AC18" s="1031"/>
      <c r="AD18" s="1032"/>
      <c r="AE18" s="786"/>
      <c r="BN18" s="485"/>
    </row>
    <row r="19" spans="2:65" s="255" customFormat="1" ht="30" customHeight="1">
      <c r="B19" s="532"/>
      <c r="C19" s="191"/>
      <c r="D19" s="191"/>
      <c r="E19" s="191"/>
      <c r="F19" s="191"/>
      <c r="G19" s="191"/>
      <c r="L19" s="786"/>
      <c r="P19" s="1029"/>
      <c r="Q19" s="1024">
        <f>VLOOKUP($C$10,$AA$9:$AR$12,18,0)</f>
        <v>600000</v>
      </c>
      <c r="R19" s="1025"/>
      <c r="S19" s="1025"/>
      <c r="T19" s="1025"/>
      <c r="U19" s="1025"/>
      <c r="V19" s="610"/>
      <c r="AA19" s="268"/>
      <c r="AB19" s="1031" t="str">
        <f>IF(OR('基本情報入力（使い方）'!$C$15=1,'基本情報入力（使い方）'!$C$15=4,'基本情報入力（使い方）'!$C$15=6),"試作開発＋設備投資",IF('基本情報入力（使い方）'!$C$15=3,"試作開発のみ",IF(OR('基本情報入力（使い方）'!$C$15=2,'基本情報入力（使い方）'!$C$15=5,'基本情報入力（使い方）'!$C$15=7),"設備投資のみ")))</f>
        <v>試作開発＋設備投資</v>
      </c>
      <c r="AC19" s="1031"/>
      <c r="AD19" s="1032"/>
      <c r="AE19" s="786"/>
      <c r="BM19" s="485"/>
    </row>
    <row r="20" spans="2:65" s="255" customFormat="1" ht="30" customHeight="1" thickBot="1">
      <c r="B20" s="533" t="s">
        <v>978</v>
      </c>
      <c r="C20" s="795"/>
      <c r="F20" s="1000"/>
      <c r="G20" s="1000"/>
      <c r="H20" s="1000"/>
      <c r="I20" s="1000"/>
      <c r="M20" s="796"/>
      <c r="N20" s="796"/>
      <c r="O20" s="796"/>
      <c r="AA20" s="269" t="s">
        <v>684</v>
      </c>
      <c r="AB20" s="1001">
        <f>IF(OR('[2]基本情報入力（使い方）'!$C$15=1,'[2]基本情報入力（使い方）'!$C$15=2),10000000,IF('[2]基本情報入力（使い方）'!$C$15=3,7000000,IF(OR('[2]基本情報入力（使い方）'!$C$15=4,'[2]基本情報入力（使い方）'!$C$15=5),10000000,5000000)))</f>
        <v>10000000</v>
      </c>
      <c r="AC20" s="1001"/>
      <c r="AD20" s="1002"/>
      <c r="AE20" s="786"/>
      <c r="BM20" s="485"/>
    </row>
    <row r="21" spans="2:65" s="255" customFormat="1" ht="30" customHeight="1" thickTop="1">
      <c r="B21" s="533"/>
      <c r="C21" s="795"/>
      <c r="F21" s="797"/>
      <c r="G21" s="797"/>
      <c r="H21" s="797"/>
      <c r="I21" s="797"/>
      <c r="M21" s="796"/>
      <c r="N21" s="796"/>
      <c r="O21" s="796"/>
      <c r="AA21" s="798"/>
      <c r="AB21" s="799"/>
      <c r="AC21" s="799"/>
      <c r="AD21" s="799"/>
      <c r="AE21" s="786"/>
      <c r="BM21" s="485"/>
    </row>
    <row r="22" spans="3:65" s="255" customFormat="1" ht="30" customHeight="1">
      <c r="C22" s="800" t="s">
        <v>784</v>
      </c>
      <c r="D22" s="1003" t="str">
        <f>IF('基本情報入力（使い方）'!$C$10="","",'基本情報入力（使い方）'!$C$10)</f>
        <v>Ｂ金属株式会社</v>
      </c>
      <c r="E22" s="1003"/>
      <c r="F22" s="1003"/>
      <c r="G22" s="1003"/>
      <c r="H22" s="1003"/>
      <c r="I22" s="1003"/>
      <c r="J22" s="801" t="s">
        <v>665</v>
      </c>
      <c r="K22" s="802"/>
      <c r="L22" s="53" t="s">
        <v>918</v>
      </c>
      <c r="V22" s="803"/>
      <c r="AE22" s="786"/>
      <c r="BM22" s="485"/>
    </row>
    <row r="23" spans="2:65" s="255" customFormat="1" ht="30" customHeight="1">
      <c r="B23" s="521"/>
      <c r="C23" s="191"/>
      <c r="D23" s="804"/>
      <c r="E23" s="804"/>
      <c r="F23" s="804"/>
      <c r="G23" s="804"/>
      <c r="H23" s="804"/>
      <c r="I23" s="804"/>
      <c r="J23" s="804"/>
      <c r="K23" s="804"/>
      <c r="L23" s="53"/>
      <c r="V23" s="803" t="s">
        <v>951</v>
      </c>
      <c r="AE23" s="786"/>
      <c r="BM23" s="485"/>
    </row>
    <row r="24" spans="2:45" ht="30" customHeight="1" thickBot="1">
      <c r="B24" s="1004" t="s">
        <v>793</v>
      </c>
      <c r="C24" s="1005"/>
      <c r="D24" s="667"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amp;"　:　"&amp;IF(OR('基本情報入力（使い方）'!$C$15=1,'基本情報入力（使い方）'!$C$15=4,'基本情報入力（使い方）'!$C$15=6),"試作開発＋設備投資",IF(OR('基本情報入力（使い方）'!$C$15=2,'基本情報入力（使い方）'!$C$15=5,'基本情報入力（使い方）'!$C$15=7),"設備投資のみ","試作開発のみ"))</f>
        <v>革新的サービス（一般型）　:　試作開発＋設備投資</v>
      </c>
      <c r="E24" s="805"/>
      <c r="F24" s="805"/>
      <c r="G24" s="805"/>
      <c r="H24" s="805"/>
      <c r="I24" s="805"/>
      <c r="J24" s="805"/>
      <c r="K24" s="805"/>
      <c r="L24" s="806"/>
      <c r="M24" s="805"/>
      <c r="N24" s="805"/>
      <c r="O24" s="805"/>
      <c r="P24" s="805"/>
      <c r="Q24" s="805"/>
      <c r="R24" s="805"/>
      <c r="S24" s="805"/>
      <c r="T24" s="805"/>
      <c r="U24" s="805"/>
      <c r="V24" s="604"/>
      <c r="Z24" s="222"/>
      <c r="AA24" s="148"/>
      <c r="AB24" s="565" t="s">
        <v>952</v>
      </c>
      <c r="AC24" s="566"/>
      <c r="AD24" s="566"/>
      <c r="AE24" s="807"/>
      <c r="AF24" s="567"/>
      <c r="AG24" s="224"/>
      <c r="AH24" s="262"/>
      <c r="AI24" s="98"/>
      <c r="AJ24" s="262"/>
      <c r="AK24" s="262"/>
      <c r="AL24" s="262"/>
      <c r="AM24" s="263"/>
      <c r="AN24" s="263"/>
      <c r="AR24" s="191"/>
      <c r="AS24" s="191"/>
    </row>
    <row r="25" spans="2:40" s="1" customFormat="1" ht="30" customHeight="1" thickTop="1">
      <c r="B25" s="991" t="s">
        <v>27</v>
      </c>
      <c r="C25" s="994"/>
      <c r="D25" s="1004" t="s">
        <v>982</v>
      </c>
      <c r="E25" s="1005"/>
      <c r="F25" s="1005"/>
      <c r="G25" s="1005"/>
      <c r="H25" s="1005"/>
      <c r="I25" s="1005"/>
      <c r="J25" s="1005"/>
      <c r="K25" s="1010"/>
      <c r="L25" s="1011" t="s">
        <v>953</v>
      </c>
      <c r="M25" s="1014" t="s">
        <v>954</v>
      </c>
      <c r="N25" s="1005"/>
      <c r="O25" s="1005"/>
      <c r="P25" s="1005"/>
      <c r="Q25" s="1005"/>
      <c r="R25" s="1005"/>
      <c r="S25" s="1005"/>
      <c r="T25" s="1005"/>
      <c r="U25" s="1005"/>
      <c r="V25" s="1015"/>
      <c r="Y25" s="520"/>
      <c r="Z25" s="222"/>
      <c r="AA25"/>
      <c r="AB25" s="568" t="s">
        <v>37</v>
      </c>
      <c r="AC25" s="1016" t="s">
        <v>120</v>
      </c>
      <c r="AD25" s="568" t="s">
        <v>37</v>
      </c>
      <c r="AE25" s="568"/>
      <c r="AF25" s="568" t="s">
        <v>37</v>
      </c>
      <c r="AG25" s="977" t="s">
        <v>669</v>
      </c>
      <c r="AH25" s="980" t="s">
        <v>121</v>
      </c>
      <c r="AI25" s="531" t="s">
        <v>803</v>
      </c>
      <c r="AJ25" s="531" t="s">
        <v>804</v>
      </c>
      <c r="AK25" s="531" t="s">
        <v>805</v>
      </c>
      <c r="AL25" s="983" t="s">
        <v>677</v>
      </c>
      <c r="AM25" s="264"/>
      <c r="AN25" s="264"/>
    </row>
    <row r="26" spans="2:45" ht="36.75" customHeight="1">
      <c r="B26" s="1006"/>
      <c r="C26" s="1007"/>
      <c r="D26" s="986" t="s">
        <v>773</v>
      </c>
      <c r="E26" s="987"/>
      <c r="F26" s="987"/>
      <c r="G26" s="988"/>
      <c r="H26" s="989" t="s">
        <v>774</v>
      </c>
      <c r="I26" s="990"/>
      <c r="J26" s="991" t="s">
        <v>925</v>
      </c>
      <c r="K26" s="992"/>
      <c r="L26" s="1012"/>
      <c r="M26" s="993" t="s">
        <v>773</v>
      </c>
      <c r="N26" s="988"/>
      <c r="O26" s="991" t="s">
        <v>955</v>
      </c>
      <c r="P26" s="994"/>
      <c r="Q26" s="995" t="s">
        <v>956</v>
      </c>
      <c r="R26" s="996"/>
      <c r="S26" s="996"/>
      <c r="T26" s="997"/>
      <c r="U26" s="998" t="s">
        <v>991</v>
      </c>
      <c r="V26" s="999"/>
      <c r="W26" s="1019" t="s">
        <v>789</v>
      </c>
      <c r="X26" s="1020"/>
      <c r="Y26" s="1021"/>
      <c r="Z26" s="222"/>
      <c r="AA26"/>
      <c r="AB26" s="569" t="s">
        <v>671</v>
      </c>
      <c r="AC26" s="1017"/>
      <c r="AD26" s="569" t="s">
        <v>672</v>
      </c>
      <c r="AE26" s="569"/>
      <c r="AF26" s="569" t="s">
        <v>38</v>
      </c>
      <c r="AG26" s="978"/>
      <c r="AH26" s="981"/>
      <c r="AI26" s="968" t="s">
        <v>679</v>
      </c>
      <c r="AJ26" s="969" t="s">
        <v>848</v>
      </c>
      <c r="AK26" s="968" t="s">
        <v>680</v>
      </c>
      <c r="AL26" s="984"/>
      <c r="AM26" s="264"/>
      <c r="AN26" s="264"/>
      <c r="AR26" s="191"/>
      <c r="AS26" s="191"/>
    </row>
    <row r="27" spans="2:45" ht="22.5" customHeight="1" thickBot="1">
      <c r="B27" s="1008"/>
      <c r="C27" s="1009"/>
      <c r="D27" s="971" t="s">
        <v>957</v>
      </c>
      <c r="E27" s="972"/>
      <c r="F27" s="971" t="s">
        <v>792</v>
      </c>
      <c r="G27" s="972"/>
      <c r="H27" s="971" t="s">
        <v>958</v>
      </c>
      <c r="I27" s="972"/>
      <c r="J27" s="971" t="s">
        <v>959</v>
      </c>
      <c r="K27" s="973"/>
      <c r="L27" s="1013"/>
      <c r="M27" s="974" t="s">
        <v>144</v>
      </c>
      <c r="N27" s="975"/>
      <c r="O27" s="971" t="s">
        <v>792</v>
      </c>
      <c r="P27" s="972"/>
      <c r="Q27" s="961" t="s">
        <v>985</v>
      </c>
      <c r="R27" s="976"/>
      <c r="S27" s="961" t="s">
        <v>960</v>
      </c>
      <c r="T27" s="962"/>
      <c r="U27" s="961" t="s">
        <v>961</v>
      </c>
      <c r="V27" s="962"/>
      <c r="W27" s="495"/>
      <c r="X27" s="496" t="s">
        <v>962</v>
      </c>
      <c r="Y27" s="501"/>
      <c r="Z27" s="222"/>
      <c r="AA27"/>
      <c r="AB27" s="571" t="s">
        <v>39</v>
      </c>
      <c r="AC27" s="1018"/>
      <c r="AD27" s="570" t="s">
        <v>39</v>
      </c>
      <c r="AE27" s="570"/>
      <c r="AF27" s="570" t="s">
        <v>39</v>
      </c>
      <c r="AG27" s="979"/>
      <c r="AH27" s="982"/>
      <c r="AI27" s="968"/>
      <c r="AJ27" s="970"/>
      <c r="AK27" s="968"/>
      <c r="AL27" s="985"/>
      <c r="AM27" s="264"/>
      <c r="AN27" s="264"/>
      <c r="AR27" s="191"/>
      <c r="AS27" s="191"/>
    </row>
    <row r="28" spans="2:45" ht="30" customHeight="1" thickTop="1">
      <c r="B28" s="963" t="s">
        <v>755</v>
      </c>
      <c r="C28" s="964"/>
      <c r="D28" s="510"/>
      <c r="E28" s="778">
        <v>5400000</v>
      </c>
      <c r="F28" s="513"/>
      <c r="G28" s="781">
        <v>5000000</v>
      </c>
      <c r="H28" s="290"/>
      <c r="I28" s="781">
        <v>5000000</v>
      </c>
      <c r="J28" s="290"/>
      <c r="K28" s="808">
        <v>3333333</v>
      </c>
      <c r="L28" s="809" t="s">
        <v>963</v>
      </c>
      <c r="M28" s="810"/>
      <c r="N28" s="811">
        <f>'機械装置費（50万円以上）'!K33</f>
        <v>4860000</v>
      </c>
      <c r="O28" s="812"/>
      <c r="P28" s="813">
        <f>'機械装置費（50万円以上）'!L33</f>
        <v>4500000</v>
      </c>
      <c r="Q28" s="814"/>
      <c r="R28" s="815">
        <f>'機械装置費（50万円以上）'!M33</f>
        <v>4500000</v>
      </c>
      <c r="S28" s="816"/>
      <c r="T28" s="781">
        <v>4500000</v>
      </c>
      <c r="U28" s="814">
        <f>IF(V28&gt;R28*2/3,"×","")</f>
      </c>
      <c r="V28" s="817">
        <f>AF28</f>
        <v>3000000</v>
      </c>
      <c r="W28" s="492"/>
      <c r="X28" s="492"/>
      <c r="Y28" s="502"/>
      <c r="Z28" s="247"/>
      <c r="AA28" s="510" t="s">
        <v>755</v>
      </c>
      <c r="AB28" s="818">
        <f>'機械装置費（50万円以上）'!Q33</f>
        <v>3000000</v>
      </c>
      <c r="AC28" s="572">
        <f>IF($AD$28&gt;0,1,"")</f>
        <v>1</v>
      </c>
      <c r="AD28" s="248">
        <f>IF(事業類型="革新的サービス（コンパクト型）",0,MIN(AB28,AB42))</f>
        <v>3000000</v>
      </c>
      <c r="AE28" s="819"/>
      <c r="AF28" s="248">
        <f>IF(AD28=0,0,MIN(AD28,AB42))</f>
        <v>3000000</v>
      </c>
      <c r="AG28" s="249">
        <f aca="true" t="shared" si="0" ref="AG28:AG39">V28-AB28</f>
        <v>0</v>
      </c>
      <c r="AH28" s="99" t="str">
        <f>IF(AND(AI28&lt;&gt;"×",AJ28&lt;&gt;"×",AK28&lt;&gt;"×"),"○","×")</f>
        <v>○</v>
      </c>
      <c r="AI28" s="99"/>
      <c r="AJ28" s="99">
        <f>IF(AND(N28&gt;=P28,P28&gt;=R28),"","×")</f>
      </c>
      <c r="AK28" s="266"/>
      <c r="AL28" s="965" t="str">
        <f>IF(AND(AH28="○",AH29="○",AH30="○",AH31="○",AH32="○",AH33="○",AH34="○",AH35="○",AH36="○",AH37="○",AH39="○",AH38="○",B11="○",B13="○",OR(B15="○",B15="なし"),P12="○",P14="○",P16="○",P18="○"),"○","×")</f>
        <v>○</v>
      </c>
      <c r="AM28" s="267"/>
      <c r="AN28" s="267"/>
      <c r="AR28" s="191"/>
      <c r="AS28" s="191"/>
    </row>
    <row r="29" spans="2:45" ht="30" customHeight="1">
      <c r="B29" s="956" t="s">
        <v>756</v>
      </c>
      <c r="C29" s="957"/>
      <c r="D29" s="511"/>
      <c r="E29" s="779">
        <v>3456000</v>
      </c>
      <c r="F29" s="514"/>
      <c r="G29" s="782">
        <v>3200000</v>
      </c>
      <c r="H29" s="291"/>
      <c r="I29" s="782">
        <v>3200000</v>
      </c>
      <c r="J29" s="291"/>
      <c r="K29" s="820">
        <v>2133328</v>
      </c>
      <c r="L29" s="821" t="s">
        <v>964</v>
      </c>
      <c r="M29" s="822"/>
      <c r="N29" s="823">
        <f>'機械装置費（50万円未満）'!K33</f>
        <v>2592000</v>
      </c>
      <c r="O29" s="824"/>
      <c r="P29" s="825">
        <f>'機械装置費（50万円未満）'!L33</f>
        <v>2400000</v>
      </c>
      <c r="Q29" s="826"/>
      <c r="R29" s="827">
        <f>'機械装置費（50万円未満）'!M33</f>
        <v>2400000</v>
      </c>
      <c r="S29" s="828"/>
      <c r="T29" s="782">
        <v>2400000</v>
      </c>
      <c r="U29" s="826">
        <f>IF(V29&gt;R29*2/3,"×","")</f>
      </c>
      <c r="V29" s="829">
        <f>AF29</f>
        <v>1599996</v>
      </c>
      <c r="W29" s="494"/>
      <c r="X29" s="493"/>
      <c r="Y29" s="503"/>
      <c r="Z29" s="247"/>
      <c r="AA29" s="511" t="s">
        <v>756</v>
      </c>
      <c r="AB29" s="818">
        <f>'機械装置費（50万円未満）'!Q33</f>
        <v>1599996</v>
      </c>
      <c r="AC29" s="451">
        <f>IF($AD$29&gt;0,1,"")</f>
        <v>1</v>
      </c>
      <c r="AD29" s="251">
        <f>IF(AND(事業類型="革新的サービス（コンパクト型）",AB29&gt;=500000*2/3),499999,MIN(AB29,AB42))</f>
        <v>1599996</v>
      </c>
      <c r="AE29" s="451"/>
      <c r="AF29" s="251">
        <f>IF(AD29=0,0,MIN(AD29,(AB42-AD28)))</f>
        <v>1599996</v>
      </c>
      <c r="AG29" s="252">
        <f t="shared" si="0"/>
        <v>0</v>
      </c>
      <c r="AH29" s="99" t="str">
        <f>IF(AND(AI29&lt;&gt;"×",AJ29&lt;&gt;"×",AK29&lt;&gt;"×"),"○","×")</f>
        <v>○</v>
      </c>
      <c r="AI29" s="99"/>
      <c r="AJ29" s="99">
        <f aca="true" t="shared" si="1" ref="AJ29:AJ39">IF(AND(N29&gt;=P29,P29&gt;=R29),"","×")</f>
      </c>
      <c r="AK29" s="266"/>
      <c r="AL29" s="966"/>
      <c r="AM29" s="267"/>
      <c r="AN29" s="267"/>
      <c r="AR29" s="191"/>
      <c r="AS29" s="191"/>
    </row>
    <row r="30" spans="2:45" ht="30" customHeight="1">
      <c r="B30" s="956" t="s">
        <v>40</v>
      </c>
      <c r="C30" s="957"/>
      <c r="D30" s="511"/>
      <c r="E30" s="779">
        <v>554526</v>
      </c>
      <c r="F30" s="514"/>
      <c r="G30" s="782">
        <v>513450</v>
      </c>
      <c r="H30" s="291"/>
      <c r="I30" s="782">
        <v>513450</v>
      </c>
      <c r="J30" s="291"/>
      <c r="K30" s="820">
        <v>196362</v>
      </c>
      <c r="L30" s="821" t="s">
        <v>965</v>
      </c>
      <c r="M30" s="822"/>
      <c r="N30" s="823">
        <f>'原材料費'!K33</f>
        <v>540000</v>
      </c>
      <c r="O30" s="824"/>
      <c r="P30" s="825">
        <f>'原材料費'!L33</f>
        <v>500000</v>
      </c>
      <c r="Q30" s="826"/>
      <c r="R30" s="827">
        <f>'原材料費'!M33</f>
        <v>500000</v>
      </c>
      <c r="S30" s="828"/>
      <c r="T30" s="782">
        <v>500000</v>
      </c>
      <c r="U30" s="826">
        <f>IF(V30&gt;R30*2/3,"×","")</f>
      </c>
      <c r="V30" s="825">
        <f>AF30</f>
        <v>230679</v>
      </c>
      <c r="W30" s="493"/>
      <c r="X30" s="493"/>
      <c r="Y30" s="503"/>
      <c r="Z30" s="247"/>
      <c r="AA30" s="511" t="s">
        <v>40</v>
      </c>
      <c r="AB30" s="250">
        <f>IF(T30="",0,ROUNDDOWN(T30*2/3,0))</f>
        <v>333333</v>
      </c>
      <c r="AC30" s="451">
        <f>IF(AB30=0,"",IF(SUM($AB$28:$AB$29)&gt;0,RANK(AD30,$AD$30:$AD$39)+1,RANK(AD30,$AD$30:$AD$39)))</f>
        <v>9</v>
      </c>
      <c r="AD30" s="251">
        <f aca="true" t="shared" si="2" ref="AD30:AD39">IF(SUM($AD$28:$AD$29)-$AB$42&gt;=0,0,ROUNDDOWN(AB30/$AB$41*$AB$45,0))</f>
        <v>230679</v>
      </c>
      <c r="AE30" s="451"/>
      <c r="AF30" s="251">
        <f aca="true" t="shared" si="3" ref="AF30:AF39">IF($AD$41-AD30=0,AD30+$AD$45,AD30)</f>
        <v>230679</v>
      </c>
      <c r="AG30" s="252">
        <f t="shared" si="0"/>
        <v>-102654</v>
      </c>
      <c r="AH30" s="99" t="str">
        <f aca="true" t="shared" si="4" ref="AH30:AH39">IF(AND(AI30&lt;&gt;"×",AJ30&lt;&gt;"×",AK30&lt;&gt;"×"),"○","×")</f>
        <v>○</v>
      </c>
      <c r="AI30" s="99"/>
      <c r="AJ30" s="99">
        <f t="shared" si="1"/>
      </c>
      <c r="AK30" s="266" t="str">
        <f aca="true" t="shared" si="5" ref="AK30:AK39">VLOOKUP(事業類型,$AA$9:$AS$12,9,0)</f>
        <v>○</v>
      </c>
      <c r="AL30" s="966"/>
      <c r="AM30" s="267"/>
      <c r="AN30" s="267"/>
      <c r="AR30" s="191"/>
      <c r="AS30" s="191"/>
    </row>
    <row r="31" spans="2:45" ht="30" customHeight="1">
      <c r="B31" s="956" t="s">
        <v>60</v>
      </c>
      <c r="C31" s="957"/>
      <c r="D31" s="511"/>
      <c r="E31" s="779">
        <v>2075360</v>
      </c>
      <c r="F31" s="514"/>
      <c r="G31" s="782">
        <v>2075360</v>
      </c>
      <c r="H31" s="291" t="s">
        <v>923</v>
      </c>
      <c r="I31" s="782">
        <v>2075360</v>
      </c>
      <c r="J31" s="291"/>
      <c r="K31" s="820">
        <v>793695</v>
      </c>
      <c r="L31" s="821" t="s">
        <v>966</v>
      </c>
      <c r="M31" s="822"/>
      <c r="N31" s="823">
        <f>'直接人件費明細書(2)'!G44</f>
        <v>2591150</v>
      </c>
      <c r="O31" s="824"/>
      <c r="P31" s="825">
        <f>N31</f>
        <v>2591150</v>
      </c>
      <c r="Q31" s="826"/>
      <c r="R31" s="827">
        <f>P31</f>
        <v>2591150</v>
      </c>
      <c r="S31" s="828"/>
      <c r="T31" s="825">
        <f>MIN(I31,R31)</f>
        <v>2075360</v>
      </c>
      <c r="U31" s="826">
        <f aca="true" t="shared" si="6" ref="U31:U39">IF(V31&gt;R31*2/3,"×","")</f>
      </c>
      <c r="V31" s="825">
        <f>AF31</f>
        <v>549267</v>
      </c>
      <c r="W31" s="58"/>
      <c r="X31" s="58"/>
      <c r="Y31" s="504"/>
      <c r="Z31" s="247"/>
      <c r="AA31" s="511" t="s">
        <v>60</v>
      </c>
      <c r="AB31" s="250">
        <f>MIN(K31,IF(T31="",0,ROUNDDOWN(T31*2/3,0)))</f>
        <v>793695</v>
      </c>
      <c r="AC31" s="451">
        <f>IF(AB31=0,"",IF(SUM($AB$28:$AB$29)&gt;0,RANK(AD31,$AD$30:$AD$39)+1,RANK(AD31,$AD$30:$AD$39)))</f>
        <v>3</v>
      </c>
      <c r="AD31" s="251">
        <f>IF(SUM($AD$28:$AD$29)-$AB$42&gt;=0,0,ROUNDDOWN(AB31/$AB$41*$AB$45,0))</f>
        <v>549267</v>
      </c>
      <c r="AE31" s="451"/>
      <c r="AF31" s="251">
        <f>IF($AD$41-AD31=0,AD31+$AD$45,AD31)</f>
        <v>549267</v>
      </c>
      <c r="AG31" s="252">
        <f t="shared" si="0"/>
        <v>-244428</v>
      </c>
      <c r="AH31" s="99" t="str">
        <f t="shared" si="4"/>
        <v>○</v>
      </c>
      <c r="AI31" s="99"/>
      <c r="AJ31" s="99">
        <f t="shared" si="1"/>
      </c>
      <c r="AK31" s="266" t="str">
        <f t="shared" si="5"/>
        <v>○</v>
      </c>
      <c r="AL31" s="966"/>
      <c r="AM31" s="267"/>
      <c r="AN31" s="267"/>
      <c r="AR31" s="191"/>
      <c r="AS31" s="191"/>
    </row>
    <row r="32" spans="2:45" ht="30" customHeight="1">
      <c r="B32" s="956" t="s">
        <v>53</v>
      </c>
      <c r="C32" s="957"/>
      <c r="D32" s="511"/>
      <c r="E32" s="779">
        <v>5832000</v>
      </c>
      <c r="F32" s="514"/>
      <c r="G32" s="782">
        <v>5400000</v>
      </c>
      <c r="H32" s="291"/>
      <c r="I32" s="782">
        <v>5400000</v>
      </c>
      <c r="J32" s="291"/>
      <c r="K32" s="820">
        <v>2065165</v>
      </c>
      <c r="L32" s="821" t="s">
        <v>966</v>
      </c>
      <c r="M32" s="822"/>
      <c r="N32" s="823">
        <f>'技術導入費'!K33</f>
        <v>5832000</v>
      </c>
      <c r="O32" s="824"/>
      <c r="P32" s="825">
        <f>'技術導入費'!L33</f>
        <v>5400000</v>
      </c>
      <c r="Q32" s="826"/>
      <c r="R32" s="827">
        <f>'技術導入費'!M33</f>
        <v>5400000</v>
      </c>
      <c r="S32" s="828"/>
      <c r="T32" s="782">
        <v>5400000</v>
      </c>
      <c r="U32" s="826">
        <f t="shared" si="6"/>
      </c>
      <c r="V32" s="825">
        <f aca="true" t="shared" si="7" ref="V32:V39">AF32</f>
        <v>2491344</v>
      </c>
      <c r="W32" s="494"/>
      <c r="X32" s="494"/>
      <c r="Y32" s="503"/>
      <c r="Z32" s="247"/>
      <c r="AA32" s="511" t="s">
        <v>53</v>
      </c>
      <c r="AB32" s="250">
        <f>IF(T32="",0,ROUNDDOWN(T32*2/3,0))</f>
        <v>3600000</v>
      </c>
      <c r="AC32" s="451">
        <f aca="true" t="shared" si="8" ref="AC32:AC39">IF(AB32=0,"",IF(SUM($AB$28:$AB$29)&gt;0,RANK(AD32,$AD$30:$AD$39)+1,RANK(AD32,$AD$30:$AD$39)))</f>
        <v>2</v>
      </c>
      <c r="AD32" s="251">
        <f t="shared" si="2"/>
        <v>2491340</v>
      </c>
      <c r="AE32" s="451"/>
      <c r="AF32" s="251">
        <f t="shared" si="3"/>
        <v>2491344</v>
      </c>
      <c r="AG32" s="252">
        <f t="shared" si="0"/>
        <v>-1108656</v>
      </c>
      <c r="AH32" s="99" t="str">
        <f t="shared" si="4"/>
        <v>○</v>
      </c>
      <c r="AI32" s="99"/>
      <c r="AJ32" s="99">
        <f t="shared" si="1"/>
      </c>
      <c r="AK32" s="266" t="str">
        <f t="shared" si="5"/>
        <v>○</v>
      </c>
      <c r="AL32" s="966"/>
      <c r="AM32" s="267"/>
      <c r="AN32" s="267"/>
      <c r="AR32" s="191"/>
      <c r="AS32" s="191"/>
    </row>
    <row r="33" spans="2:45" ht="30" customHeight="1">
      <c r="B33" s="956" t="s">
        <v>55</v>
      </c>
      <c r="C33" s="957"/>
      <c r="D33" s="511"/>
      <c r="E33" s="779">
        <v>540000</v>
      </c>
      <c r="F33" s="514"/>
      <c r="G33" s="782">
        <v>500000</v>
      </c>
      <c r="H33" s="291" t="s">
        <v>923</v>
      </c>
      <c r="I33" s="782">
        <v>500000</v>
      </c>
      <c r="J33" s="291"/>
      <c r="K33" s="820">
        <v>191218</v>
      </c>
      <c r="L33" s="821" t="s">
        <v>967</v>
      </c>
      <c r="M33" s="822"/>
      <c r="N33" s="823">
        <f>'外注加工費'!K33</f>
        <v>756000</v>
      </c>
      <c r="O33" s="824"/>
      <c r="P33" s="825">
        <f>'外注加工費'!L33</f>
        <v>700000</v>
      </c>
      <c r="Q33" s="826">
        <f>IF(OR(P12="×",P16="×"),"×","")</f>
      </c>
      <c r="R33" s="827">
        <f>'外注加工費'!M33</f>
        <v>700000</v>
      </c>
      <c r="S33" s="828">
        <f>IF(OR(R13="×",R17="×"),"×","")</f>
      </c>
      <c r="T33" s="782">
        <v>700000</v>
      </c>
      <c r="U33" s="826">
        <f t="shared" si="6"/>
      </c>
      <c r="V33" s="825">
        <f t="shared" si="7"/>
        <v>322951</v>
      </c>
      <c r="W33" s="494"/>
      <c r="X33" s="494"/>
      <c r="Y33" s="505"/>
      <c r="Z33" s="247"/>
      <c r="AA33" s="511" t="s">
        <v>55</v>
      </c>
      <c r="AB33" s="250">
        <f>IF(T33="",0,ROUNDDOWN(T33*2/3,0))</f>
        <v>466666</v>
      </c>
      <c r="AC33" s="451">
        <f t="shared" si="8"/>
        <v>6</v>
      </c>
      <c r="AD33" s="251">
        <f t="shared" si="2"/>
        <v>322951</v>
      </c>
      <c r="AE33" s="451"/>
      <c r="AF33" s="251">
        <f t="shared" si="3"/>
        <v>322951</v>
      </c>
      <c r="AG33" s="252">
        <f t="shared" si="0"/>
        <v>-143715</v>
      </c>
      <c r="AH33" s="99" t="str">
        <f t="shared" si="4"/>
        <v>○</v>
      </c>
      <c r="AI33" s="99" t="str">
        <f>IF(AND(OR($O$45="",$O$45=0),OR($O$46="",$O$46=0)),"○",IF(OR(IF($O$45="",0,$O$45)+IF($O$46="",0,$O$46)&lt;=$H$52/2,IF($O$46="",0,$O$46)&gt;$H$52/2),"○","×"))</f>
        <v>○</v>
      </c>
      <c r="AJ33" s="99">
        <f t="shared" si="1"/>
      </c>
      <c r="AK33" s="266" t="str">
        <f t="shared" si="5"/>
        <v>○</v>
      </c>
      <c r="AL33" s="966"/>
      <c r="AM33" s="267"/>
      <c r="AN33" s="267"/>
      <c r="AR33" s="191"/>
      <c r="AS33" s="191"/>
    </row>
    <row r="34" spans="2:45" ht="30" customHeight="1">
      <c r="B34" s="956" t="s">
        <v>54</v>
      </c>
      <c r="C34" s="957"/>
      <c r="D34" s="511"/>
      <c r="E34" s="779">
        <v>583200</v>
      </c>
      <c r="F34" s="514"/>
      <c r="G34" s="782">
        <v>540000</v>
      </c>
      <c r="H34" s="291" t="s">
        <v>923</v>
      </c>
      <c r="I34" s="782">
        <v>540000</v>
      </c>
      <c r="J34" s="291"/>
      <c r="K34" s="820">
        <v>206516</v>
      </c>
      <c r="L34" s="821" t="s">
        <v>967</v>
      </c>
      <c r="M34" s="822"/>
      <c r="N34" s="823">
        <f>'委託費'!K33</f>
        <v>583200</v>
      </c>
      <c r="O34" s="824"/>
      <c r="P34" s="825">
        <f>'委託費'!L33</f>
        <v>540000</v>
      </c>
      <c r="Q34" s="826">
        <f>IF(OR(P14="×",P16="×"),"×","")</f>
      </c>
      <c r="R34" s="827">
        <f>'委託費'!M33</f>
        <v>540000</v>
      </c>
      <c r="S34" s="828">
        <f>IF(OR(R15="×",R17="×"),"×","")</f>
      </c>
      <c r="T34" s="782">
        <v>540000</v>
      </c>
      <c r="U34" s="826">
        <f t="shared" si="6"/>
      </c>
      <c r="V34" s="825">
        <f t="shared" si="7"/>
        <v>249134</v>
      </c>
      <c r="W34" s="494"/>
      <c r="X34" s="494"/>
      <c r="Y34" s="505"/>
      <c r="Z34" s="247"/>
      <c r="AA34" s="511" t="s">
        <v>54</v>
      </c>
      <c r="AB34" s="250">
        <f>IF(T34="",0,ROUNDDOWN(T34*2/3,0))</f>
        <v>360000</v>
      </c>
      <c r="AC34" s="451">
        <f t="shared" si="8"/>
        <v>8</v>
      </c>
      <c r="AD34" s="251">
        <f t="shared" si="2"/>
        <v>249134</v>
      </c>
      <c r="AE34" s="451"/>
      <c r="AF34" s="251">
        <f t="shared" si="3"/>
        <v>249134</v>
      </c>
      <c r="AG34" s="252">
        <f t="shared" si="0"/>
        <v>-110866</v>
      </c>
      <c r="AH34" s="99" t="str">
        <f t="shared" si="4"/>
        <v>○</v>
      </c>
      <c r="AI34" s="99" t="str">
        <f>IF(AND(OR($R$32="",$R$32=0),OR($R$33="",$R$33=0)),"○",IF(OR(IF($R$32="",0,$R$32)+IF($R$33="",0,$R$33)&lt;=$R$40/2,IF($R$32="",0,$R$32)&gt;$R$40/2),"○","×"))</f>
        <v>○</v>
      </c>
      <c r="AJ34" s="99">
        <f t="shared" si="1"/>
      </c>
      <c r="AK34" s="266" t="str">
        <f t="shared" si="5"/>
        <v>○</v>
      </c>
      <c r="AL34" s="966"/>
      <c r="AM34" s="267"/>
      <c r="AN34" s="267"/>
      <c r="AR34" s="191"/>
      <c r="AS34" s="191"/>
    </row>
    <row r="35" spans="2:45" ht="30" customHeight="1">
      <c r="B35" s="956" t="s">
        <v>140</v>
      </c>
      <c r="C35" s="957"/>
      <c r="D35" s="511"/>
      <c r="E35" s="779">
        <v>594000</v>
      </c>
      <c r="F35" s="514"/>
      <c r="G35" s="782">
        <v>550000</v>
      </c>
      <c r="H35" s="291" t="s">
        <v>923</v>
      </c>
      <c r="I35" s="782">
        <v>550000</v>
      </c>
      <c r="J35" s="291"/>
      <c r="K35" s="820">
        <v>210340</v>
      </c>
      <c r="L35" s="821" t="s">
        <v>968</v>
      </c>
      <c r="M35" s="822"/>
      <c r="N35" s="823">
        <f>'知的財産権等関連経費'!K33</f>
        <v>648000</v>
      </c>
      <c r="O35" s="824"/>
      <c r="P35" s="825">
        <f>'知的財産権等関連経費'!L33</f>
        <v>600000</v>
      </c>
      <c r="Q35" s="826">
        <f>IF(P18="×","×","")</f>
      </c>
      <c r="R35" s="827">
        <f>'知的財産権等関連経費'!M33</f>
        <v>600000</v>
      </c>
      <c r="S35" s="828">
        <f>IF(R19="×","×","")</f>
      </c>
      <c r="T35" s="782">
        <v>600000</v>
      </c>
      <c r="U35" s="826">
        <f t="shared" si="6"/>
      </c>
      <c r="V35" s="825">
        <f t="shared" si="7"/>
        <v>276815</v>
      </c>
      <c r="W35" s="494"/>
      <c r="X35" s="494"/>
      <c r="Y35" s="506"/>
      <c r="Z35" s="256"/>
      <c r="AA35" s="511" t="s">
        <v>140</v>
      </c>
      <c r="AB35" s="250">
        <f>IF(T35="",0,ROUNDDOWN(T35*2/3,0))</f>
        <v>400000</v>
      </c>
      <c r="AC35" s="451">
        <f t="shared" si="8"/>
        <v>7</v>
      </c>
      <c r="AD35" s="251">
        <f t="shared" si="2"/>
        <v>276815</v>
      </c>
      <c r="AE35" s="451"/>
      <c r="AF35" s="251">
        <f t="shared" si="3"/>
        <v>276815</v>
      </c>
      <c r="AG35" s="252">
        <f t="shared" si="0"/>
        <v>-123185</v>
      </c>
      <c r="AH35" s="99" t="str">
        <f t="shared" si="4"/>
        <v>○</v>
      </c>
      <c r="AI35" s="99" t="str">
        <f>IF(R35="","○",IF(R35-$R$40/3&lt;=0,"○","×"))</f>
        <v>○</v>
      </c>
      <c r="AJ35" s="99">
        <f t="shared" si="1"/>
      </c>
      <c r="AK35" s="266" t="str">
        <f t="shared" si="5"/>
        <v>○</v>
      </c>
      <c r="AL35" s="966"/>
      <c r="AM35" s="267"/>
      <c r="AN35" s="267"/>
      <c r="AR35" s="191"/>
      <c r="AS35" s="191"/>
    </row>
    <row r="36" spans="2:45" ht="30" customHeight="1">
      <c r="B36" s="956" t="s">
        <v>56</v>
      </c>
      <c r="C36" s="957"/>
      <c r="D36" s="511"/>
      <c r="E36" s="779">
        <v>955800</v>
      </c>
      <c r="F36" s="514"/>
      <c r="G36" s="782">
        <v>885000</v>
      </c>
      <c r="H36" s="291"/>
      <c r="I36" s="782">
        <v>885000</v>
      </c>
      <c r="J36" s="291"/>
      <c r="K36" s="820">
        <v>338457</v>
      </c>
      <c r="L36" s="821" t="s">
        <v>969</v>
      </c>
      <c r="M36" s="822"/>
      <c r="N36" s="823">
        <f>'運搬費'!K33</f>
        <v>828360</v>
      </c>
      <c r="O36" s="824"/>
      <c r="P36" s="825">
        <f>'運搬費'!L33</f>
        <v>767000</v>
      </c>
      <c r="Q36" s="826"/>
      <c r="R36" s="827">
        <f>'運搬費'!M33</f>
        <v>767000</v>
      </c>
      <c r="S36" s="828"/>
      <c r="T36" s="782">
        <v>767000</v>
      </c>
      <c r="U36" s="826">
        <f t="shared" si="6"/>
      </c>
      <c r="V36" s="825">
        <f t="shared" si="7"/>
        <v>353862</v>
      </c>
      <c r="W36" s="494"/>
      <c r="X36" s="494"/>
      <c r="Y36" s="506"/>
      <c r="Z36" s="247"/>
      <c r="AA36" s="511" t="s">
        <v>56</v>
      </c>
      <c r="AB36" s="250">
        <f>IF(T36="",0,ROUNDDOWN(T36*2/3,0))</f>
        <v>511333</v>
      </c>
      <c r="AC36" s="451">
        <f t="shared" si="8"/>
        <v>4</v>
      </c>
      <c r="AD36" s="251">
        <f t="shared" si="2"/>
        <v>353862</v>
      </c>
      <c r="AE36" s="451"/>
      <c r="AF36" s="251">
        <f t="shared" si="3"/>
        <v>353862</v>
      </c>
      <c r="AG36" s="252">
        <f t="shared" si="0"/>
        <v>-157471</v>
      </c>
      <c r="AH36" s="99" t="str">
        <f t="shared" si="4"/>
        <v>○</v>
      </c>
      <c r="AI36" s="99"/>
      <c r="AJ36" s="99">
        <f t="shared" si="1"/>
      </c>
      <c r="AK36" s="266" t="str">
        <f t="shared" si="5"/>
        <v>○</v>
      </c>
      <c r="AL36" s="966"/>
      <c r="AM36" s="267"/>
      <c r="AN36" s="267"/>
      <c r="AR36" s="191"/>
      <c r="AS36" s="191"/>
    </row>
    <row r="37" spans="2:45" ht="30" customHeight="1">
      <c r="B37" s="956" t="s">
        <v>757</v>
      </c>
      <c r="C37" s="957"/>
      <c r="D37" s="511"/>
      <c r="E37" s="779">
        <v>1080000</v>
      </c>
      <c r="F37" s="514"/>
      <c r="G37" s="782">
        <v>1000000</v>
      </c>
      <c r="H37" s="291"/>
      <c r="I37" s="782">
        <v>1000000</v>
      </c>
      <c r="J37" s="291"/>
      <c r="K37" s="820">
        <v>382437</v>
      </c>
      <c r="L37" s="821" t="s">
        <v>696</v>
      </c>
      <c r="M37" s="822"/>
      <c r="N37" s="823">
        <f>'専門家経費'!K33</f>
        <v>810000</v>
      </c>
      <c r="O37" s="824"/>
      <c r="P37" s="825">
        <f>'専門家経費'!L33</f>
        <v>750000</v>
      </c>
      <c r="Q37" s="826"/>
      <c r="R37" s="827">
        <f>'専門家経費'!M33</f>
        <v>750000</v>
      </c>
      <c r="S37" s="828"/>
      <c r="T37" s="782">
        <v>750000</v>
      </c>
      <c r="U37" s="826">
        <f t="shared" si="6"/>
      </c>
      <c r="V37" s="825">
        <f t="shared" si="7"/>
        <v>346019</v>
      </c>
      <c r="W37" s="494"/>
      <c r="X37" s="494"/>
      <c r="Y37" s="506"/>
      <c r="Z37" s="247"/>
      <c r="AA37" s="511" t="s">
        <v>757</v>
      </c>
      <c r="AB37" s="250">
        <f>IF(T37="",0,ROUNDDOWN(T37*2/3,0))</f>
        <v>500000</v>
      </c>
      <c r="AC37" s="451">
        <f t="shared" si="8"/>
        <v>5</v>
      </c>
      <c r="AD37" s="251">
        <f t="shared" si="2"/>
        <v>346019</v>
      </c>
      <c r="AE37" s="451"/>
      <c r="AF37" s="251">
        <f t="shared" si="3"/>
        <v>346019</v>
      </c>
      <c r="AG37" s="258">
        <f t="shared" si="0"/>
        <v>-153981</v>
      </c>
      <c r="AH37" s="99" t="str">
        <f t="shared" si="4"/>
        <v>○</v>
      </c>
      <c r="AI37" s="99"/>
      <c r="AJ37" s="99">
        <f t="shared" si="1"/>
      </c>
      <c r="AK37" s="266" t="str">
        <f t="shared" si="5"/>
        <v>○</v>
      </c>
      <c r="AL37" s="966"/>
      <c r="AM37" s="267"/>
      <c r="AN37" s="267"/>
      <c r="AR37" s="191"/>
      <c r="AS37" s="191"/>
    </row>
    <row r="38" spans="2:45" ht="30" customHeight="1">
      <c r="B38" s="956" t="s">
        <v>57</v>
      </c>
      <c r="C38" s="957"/>
      <c r="D38" s="511"/>
      <c r="E38" s="779">
        <v>140000</v>
      </c>
      <c r="F38" s="514"/>
      <c r="G38" s="782">
        <v>140000</v>
      </c>
      <c r="H38" s="291"/>
      <c r="I38" s="782">
        <v>140000</v>
      </c>
      <c r="J38" s="291"/>
      <c r="K38" s="820">
        <v>53541</v>
      </c>
      <c r="L38" s="821" t="s">
        <v>970</v>
      </c>
      <c r="M38" s="822"/>
      <c r="N38" s="823">
        <f>'雑役務費'!K33</f>
        <v>140000</v>
      </c>
      <c r="O38" s="824"/>
      <c r="P38" s="825">
        <f>'雑役務費'!L33</f>
        <v>140000</v>
      </c>
      <c r="Q38" s="826"/>
      <c r="R38" s="827">
        <f>'雑役務費'!M33</f>
        <v>140000</v>
      </c>
      <c r="S38" s="828"/>
      <c r="T38" s="782">
        <v>140000</v>
      </c>
      <c r="U38" s="826">
        <f t="shared" si="6"/>
      </c>
      <c r="V38" s="825">
        <f t="shared" si="7"/>
        <v>64590</v>
      </c>
      <c r="W38" s="494"/>
      <c r="X38" s="494"/>
      <c r="Y38" s="506"/>
      <c r="Z38" s="247"/>
      <c r="AA38" s="511" t="s">
        <v>57</v>
      </c>
      <c r="AB38" s="250">
        <f>IF(T38="",0,ROUNDDOWN(T38*2/3,0))</f>
        <v>93333</v>
      </c>
      <c r="AC38" s="451">
        <f t="shared" si="8"/>
        <v>11</v>
      </c>
      <c r="AD38" s="251">
        <f t="shared" si="2"/>
        <v>64590</v>
      </c>
      <c r="AE38" s="451"/>
      <c r="AF38" s="251">
        <f t="shared" si="3"/>
        <v>64590</v>
      </c>
      <c r="AG38" s="252">
        <f t="shared" si="0"/>
        <v>-28743</v>
      </c>
      <c r="AH38" s="99" t="str">
        <f t="shared" si="4"/>
        <v>○</v>
      </c>
      <c r="AI38" s="99"/>
      <c r="AJ38" s="99">
        <f t="shared" si="1"/>
      </c>
      <c r="AK38" s="266" t="str">
        <f t="shared" si="5"/>
        <v>○</v>
      </c>
      <c r="AL38" s="966"/>
      <c r="AM38" s="267"/>
      <c r="AN38" s="267"/>
      <c r="AR38" s="191"/>
      <c r="AS38" s="191"/>
    </row>
    <row r="39" spans="2:45" ht="30" customHeight="1" thickBot="1">
      <c r="B39" s="958" t="s">
        <v>758</v>
      </c>
      <c r="C39" s="959"/>
      <c r="D39" s="512"/>
      <c r="E39" s="780">
        <v>270000</v>
      </c>
      <c r="F39" s="515"/>
      <c r="G39" s="783">
        <v>250000</v>
      </c>
      <c r="H39" s="292"/>
      <c r="I39" s="783">
        <v>250000</v>
      </c>
      <c r="J39" s="292"/>
      <c r="K39" s="830">
        <v>95608</v>
      </c>
      <c r="L39" s="831" t="s">
        <v>971</v>
      </c>
      <c r="M39" s="832"/>
      <c r="N39" s="833">
        <f>'クラウド利用費'!K33</f>
        <v>270000</v>
      </c>
      <c r="O39" s="834"/>
      <c r="P39" s="835">
        <f>'クラウド利用費'!L33</f>
        <v>250000</v>
      </c>
      <c r="Q39" s="836"/>
      <c r="R39" s="837">
        <f>'クラウド利用費'!M33</f>
        <v>250000</v>
      </c>
      <c r="S39" s="838"/>
      <c r="T39" s="783">
        <v>250000</v>
      </c>
      <c r="U39" s="836">
        <f t="shared" si="6"/>
      </c>
      <c r="V39" s="835">
        <f t="shared" si="7"/>
        <v>115339</v>
      </c>
      <c r="W39" s="497"/>
      <c r="X39" s="497"/>
      <c r="Y39" s="507"/>
      <c r="Z39" s="247"/>
      <c r="AA39" s="512" t="s">
        <v>758</v>
      </c>
      <c r="AB39" s="259">
        <f>IF(T39="",0,ROUNDDOWN(T39*2/3,0))</f>
        <v>166666</v>
      </c>
      <c r="AC39" s="451">
        <f t="shared" si="8"/>
        <v>10</v>
      </c>
      <c r="AD39" s="251">
        <f t="shared" si="2"/>
        <v>115339</v>
      </c>
      <c r="AE39" s="839"/>
      <c r="AF39" s="260">
        <f t="shared" si="3"/>
        <v>115339</v>
      </c>
      <c r="AG39" s="452">
        <f t="shared" si="0"/>
        <v>-51327</v>
      </c>
      <c r="AH39" s="99" t="str">
        <f t="shared" si="4"/>
        <v>○</v>
      </c>
      <c r="AI39" s="99"/>
      <c r="AJ39" s="99">
        <f t="shared" si="1"/>
      </c>
      <c r="AK39" s="266" t="str">
        <f t="shared" si="5"/>
        <v>○</v>
      </c>
      <c r="AL39" s="967"/>
      <c r="AM39" s="267"/>
      <c r="AN39" s="267"/>
      <c r="AR39" s="191"/>
      <c r="AS39" s="191"/>
    </row>
    <row r="40" spans="2:45" ht="30" customHeight="1" thickTop="1">
      <c r="B40" s="960" t="s">
        <v>685</v>
      </c>
      <c r="C40" s="960"/>
      <c r="D40" s="840" t="s">
        <v>775</v>
      </c>
      <c r="E40" s="293">
        <f>SUM(E28:E39)</f>
        <v>21480886</v>
      </c>
      <c r="F40" s="405"/>
      <c r="G40" s="293">
        <f>SUM(G28:G39)</f>
        <v>20053810</v>
      </c>
      <c r="H40" s="840" t="s">
        <v>776</v>
      </c>
      <c r="I40" s="293">
        <f>SUM(I28:I39)</f>
        <v>20053810</v>
      </c>
      <c r="J40" s="840" t="s">
        <v>777</v>
      </c>
      <c r="K40" s="841">
        <f>SUM(K28:K39)</f>
        <v>10000000</v>
      </c>
      <c r="L40" s="842" t="s">
        <v>696</v>
      </c>
      <c r="M40" s="843" t="s">
        <v>972</v>
      </c>
      <c r="N40" s="844">
        <f>SUM(N28:N39)</f>
        <v>20450710</v>
      </c>
      <c r="O40" s="845"/>
      <c r="P40" s="844">
        <f>SUM(P28:P39)</f>
        <v>19138150</v>
      </c>
      <c r="Q40" s="846"/>
      <c r="R40" s="847">
        <f>SUM(R28:R39)</f>
        <v>19138150</v>
      </c>
      <c r="S40" s="848" t="s">
        <v>973</v>
      </c>
      <c r="T40" s="847">
        <f>SUM(T28:T39)</f>
        <v>18622360</v>
      </c>
      <c r="U40" s="848" t="s">
        <v>974</v>
      </c>
      <c r="V40" s="825">
        <f>SUM(V28:V39)</f>
        <v>9599996</v>
      </c>
      <c r="W40" s="508"/>
      <c r="X40" s="508"/>
      <c r="Y40" s="509"/>
      <c r="Z40" s="222"/>
      <c r="AA40" s="849" t="s">
        <v>51</v>
      </c>
      <c r="AB40" s="257">
        <f>SUM(AB28:AB39)</f>
        <v>11825022</v>
      </c>
      <c r="AC40" s="850"/>
      <c r="AD40" s="261">
        <f>SUM(AD28:AD39)</f>
        <v>9599992</v>
      </c>
      <c r="AE40" s="851"/>
      <c r="AF40" s="257">
        <f>SUM(AF28:AF39)</f>
        <v>9599996</v>
      </c>
      <c r="AG40" s="852"/>
      <c r="AH40" s="853" t="s">
        <v>975</v>
      </c>
      <c r="AI40" s="538"/>
      <c r="AJ40" s="272"/>
      <c r="AK40" s="330"/>
      <c r="AM40" s="1"/>
      <c r="AN40" s="1"/>
      <c r="AR40" s="191"/>
      <c r="AS40" s="191"/>
    </row>
    <row r="41" spans="3:45" ht="30" customHeight="1">
      <c r="C41" s="274"/>
      <c r="D41" s="274"/>
      <c r="E41" s="273"/>
      <c r="F41" s="273"/>
      <c r="G41" s="273"/>
      <c r="H41" s="951"/>
      <c r="I41" s="951"/>
      <c r="J41" s="951"/>
      <c r="K41" s="951"/>
      <c r="L41" s="854"/>
      <c r="M41" s="274"/>
      <c r="N41" s="952"/>
      <c r="O41" s="952"/>
      <c r="P41" s="952"/>
      <c r="Q41" s="952"/>
      <c r="R41" s="952"/>
      <c r="S41" s="855"/>
      <c r="T41" s="951"/>
      <c r="U41" s="951"/>
      <c r="V41" s="951"/>
      <c r="W41" s="951"/>
      <c r="X41" s="951"/>
      <c r="Y41" s="951"/>
      <c r="Z41" s="526"/>
      <c r="AA41" s="528" t="s">
        <v>688</v>
      </c>
      <c r="AB41" s="856">
        <f>AB40-SUM(AB28:AB29)</f>
        <v>7225026</v>
      </c>
      <c r="AC41" s="857" t="s">
        <v>689</v>
      </c>
      <c r="AD41" s="573">
        <f>IF(ISERROR(VLOOKUP(2,$AC$28:$AD$39,2,FALSE)),0,VLOOKUP(2,$AC$28:$AD$39,2,FALSE))</f>
        <v>2491340</v>
      </c>
      <c r="AE41" s="858"/>
      <c r="AF41" s="859" t="s">
        <v>690</v>
      </c>
      <c r="AG41" s="860"/>
      <c r="AH41" s="861" t="s">
        <v>849</v>
      </c>
      <c r="AI41" s="862"/>
      <c r="AJ41" s="863"/>
      <c r="AK41" s="863"/>
      <c r="AL41" s="262"/>
      <c r="AR41" s="191"/>
      <c r="AS41" s="191"/>
    </row>
    <row r="42" spans="3:45" ht="30" customHeight="1">
      <c r="C42" s="274"/>
      <c r="D42" s="274"/>
      <c r="E42" s="274"/>
      <c r="F42" s="953"/>
      <c r="G42" s="953"/>
      <c r="H42" s="953"/>
      <c r="I42" s="953"/>
      <c r="J42" s="274"/>
      <c r="K42" s="274"/>
      <c r="L42" s="274"/>
      <c r="M42" s="274"/>
      <c r="N42" s="273"/>
      <c r="O42" s="273"/>
      <c r="P42" s="273"/>
      <c r="Q42" s="273"/>
      <c r="S42" s="273"/>
      <c r="Y42" s="276"/>
      <c r="Z42" s="526"/>
      <c r="AA42" s="528" t="s">
        <v>691</v>
      </c>
      <c r="AB42" s="856">
        <f>MIN(AB40,補助上限額)</f>
        <v>10000000</v>
      </c>
      <c r="AC42" s="857" t="s">
        <v>692</v>
      </c>
      <c r="AD42" s="573">
        <f>SUMIF(AC28:AC39,2,AD28:AD39)</f>
        <v>2491340</v>
      </c>
      <c r="AE42" s="858"/>
      <c r="AF42" s="859" t="s">
        <v>693</v>
      </c>
      <c r="AG42" s="860"/>
      <c r="AH42" s="863"/>
      <c r="AI42" s="863"/>
      <c r="AJ42" s="863"/>
      <c r="AK42" s="863"/>
      <c r="AR42" s="191"/>
      <c r="AS42" s="191"/>
    </row>
    <row r="43" spans="3:45" ht="30" customHeight="1">
      <c r="C43" s="864"/>
      <c r="D43" s="277"/>
      <c r="E43" s="277"/>
      <c r="F43" s="277"/>
      <c r="G43" s="277"/>
      <c r="H43" s="277"/>
      <c r="I43" s="277"/>
      <c r="J43" s="277"/>
      <c r="K43" s="277"/>
      <c r="L43" s="865"/>
      <c r="M43" s="5"/>
      <c r="N43" s="5"/>
      <c r="O43" s="5"/>
      <c r="Q43" s="5"/>
      <c r="S43" s="5"/>
      <c r="X43" s="866"/>
      <c r="Y43" s="278"/>
      <c r="Z43" s="526"/>
      <c r="AA43" s="528" t="s">
        <v>785</v>
      </c>
      <c r="AB43" s="856">
        <f>MAX(AB42-SUM(AB28:AB29),0)</f>
        <v>5400004</v>
      </c>
      <c r="AC43" s="857" t="s">
        <v>921</v>
      </c>
      <c r="AD43" s="328">
        <f>MIN(AB44-(AD40-SUM(AD28:AD29)),AB42-AD40)</f>
        <v>4</v>
      </c>
      <c r="AE43" s="867"/>
      <c r="AF43" s="859"/>
      <c r="AG43" s="860"/>
      <c r="AH43" s="863"/>
      <c r="AI43" s="863"/>
      <c r="AJ43" s="863"/>
      <c r="AK43" s="863"/>
      <c r="AR43" s="191"/>
      <c r="AS43" s="191"/>
    </row>
    <row r="44" spans="3:45" ht="30" customHeight="1">
      <c r="C44" s="868"/>
      <c r="D44" s="869"/>
      <c r="E44" s="869"/>
      <c r="F44" s="869"/>
      <c r="G44" s="869"/>
      <c r="H44" s="869"/>
      <c r="I44" s="869"/>
      <c r="J44" s="279"/>
      <c r="K44" s="279"/>
      <c r="L44" s="870"/>
      <c r="M44" s="5"/>
      <c r="N44" s="5"/>
      <c r="O44" s="5"/>
      <c r="Q44" s="5"/>
      <c r="S44" s="5"/>
      <c r="Z44" s="526"/>
      <c r="AA44" s="528" t="s">
        <v>786</v>
      </c>
      <c r="AB44" s="856">
        <f>IF(OR(事業類型="革新的サービス（一般型）",事業類型="ものづくり技術"),5000000,AB42)</f>
        <v>5000000</v>
      </c>
      <c r="AC44" s="857" t="s">
        <v>922</v>
      </c>
      <c r="AD44" s="329">
        <f>IF(AD41=0,0,AD42/AD41)</f>
        <v>1</v>
      </c>
      <c r="AE44" s="871"/>
      <c r="AF44" s="872"/>
      <c r="AG44" s="873"/>
      <c r="AH44" s="863"/>
      <c r="AI44" s="863"/>
      <c r="AJ44" s="863"/>
      <c r="AK44" s="863"/>
      <c r="AR44" s="191"/>
      <c r="AS44" s="191"/>
    </row>
    <row r="45" spans="3:45" ht="30" customHeight="1">
      <c r="C45" s="874"/>
      <c r="D45" s="874"/>
      <c r="E45" s="874"/>
      <c r="F45" s="874"/>
      <c r="G45" s="874"/>
      <c r="H45" s="874"/>
      <c r="I45" s="874"/>
      <c r="J45" s="280"/>
      <c r="K45" s="280"/>
      <c r="L45" s="870"/>
      <c r="M45" s="5"/>
      <c r="N45" s="5"/>
      <c r="O45" s="5"/>
      <c r="Q45" s="5"/>
      <c r="S45" s="5"/>
      <c r="Z45" s="527"/>
      <c r="AA45" s="529" t="s">
        <v>694</v>
      </c>
      <c r="AB45" s="875">
        <f>IF(SUM(AB28:AB29)=0,AB44,MIN(AB42,AB43,AB44))</f>
        <v>5000000</v>
      </c>
      <c r="AC45" s="876" t="s">
        <v>122</v>
      </c>
      <c r="AD45" s="328">
        <f>IF(AD44=0,0,ROUNDDOWN(AD43/AD44,0))</f>
        <v>4</v>
      </c>
      <c r="AE45" s="867"/>
      <c r="AF45" s="872"/>
      <c r="AG45" s="873"/>
      <c r="AH45" s="863"/>
      <c r="AI45" s="863"/>
      <c r="AJ45" s="863"/>
      <c r="AK45" s="863"/>
      <c r="AR45" s="191"/>
      <c r="AS45" s="191"/>
    </row>
    <row r="46" spans="2:45" ht="30" customHeight="1">
      <c r="B46" s="877"/>
      <c r="C46" s="877"/>
      <c r="D46" s="877"/>
      <c r="E46" s="877"/>
      <c r="F46" s="877"/>
      <c r="G46" s="877"/>
      <c r="H46" s="877"/>
      <c r="I46" s="878"/>
      <c r="J46" s="282"/>
      <c r="K46" s="282"/>
      <c r="L46" s="879"/>
      <c r="M46" s="5"/>
      <c r="N46" s="5"/>
      <c r="O46" s="5"/>
      <c r="Q46" s="5"/>
      <c r="S46" s="5"/>
      <c r="U46" s="954"/>
      <c r="V46" s="954"/>
      <c r="AA46" s="880"/>
      <c r="AI46" s="191"/>
      <c r="AJ46" s="191"/>
      <c r="AR46" s="191"/>
      <c r="AS46" s="191"/>
    </row>
    <row r="47" spans="3:45" ht="30" customHeight="1">
      <c r="C47" s="881"/>
      <c r="D47" s="881"/>
      <c r="E47" s="881"/>
      <c r="F47" s="881"/>
      <c r="G47" s="881"/>
      <c r="H47" s="881"/>
      <c r="I47" s="881"/>
      <c r="J47" s="881"/>
      <c r="K47" s="881"/>
      <c r="L47" s="881"/>
      <c r="M47" s="881"/>
      <c r="N47" s="881"/>
      <c r="O47" s="881"/>
      <c r="P47" s="882"/>
      <c r="Q47" s="882"/>
      <c r="R47" s="882"/>
      <c r="S47" s="882"/>
      <c r="T47" s="882"/>
      <c r="U47" s="882"/>
      <c r="V47" s="882"/>
      <c r="AA47" s="262" t="s">
        <v>924</v>
      </c>
      <c r="AB47" s="262"/>
      <c r="AC47" s="262"/>
      <c r="AD47" s="262"/>
      <c r="AE47" s="883"/>
      <c r="AR47" s="191"/>
      <c r="AS47" s="191"/>
    </row>
    <row r="48" spans="3:45" ht="30" customHeight="1">
      <c r="C48" s="929"/>
      <c r="D48" s="929"/>
      <c r="E48" s="935"/>
      <c r="F48" s="935"/>
      <c r="G48" s="935"/>
      <c r="H48" s="929"/>
      <c r="I48" s="929"/>
      <c r="J48" s="929"/>
      <c r="L48" s="498"/>
      <c r="M48" s="938"/>
      <c r="N48" s="938"/>
      <c r="O48" s="955"/>
      <c r="P48" s="955"/>
      <c r="Q48" s="938"/>
      <c r="R48" s="938"/>
      <c r="S48" s="938"/>
      <c r="T48" s="190"/>
      <c r="U48" s="190"/>
      <c r="V48" s="190"/>
      <c r="AA48" s="946" t="s">
        <v>121</v>
      </c>
      <c r="AB48" s="947" t="s">
        <v>937</v>
      </c>
      <c r="AC48" s="947" t="s">
        <v>938</v>
      </c>
      <c r="AD48" s="191"/>
      <c r="AE48" s="884"/>
      <c r="AR48" s="191"/>
      <c r="AS48" s="191"/>
    </row>
    <row r="49" spans="3:45" ht="30" customHeight="1">
      <c r="C49" s="929"/>
      <c r="D49" s="929"/>
      <c r="E49" s="935"/>
      <c r="F49" s="935"/>
      <c r="G49" s="935"/>
      <c r="H49" s="929"/>
      <c r="I49" s="929"/>
      <c r="J49" s="929"/>
      <c r="L49" s="281"/>
      <c r="M49" s="938"/>
      <c r="N49" s="938"/>
      <c r="O49" s="955"/>
      <c r="P49" s="955"/>
      <c r="Q49" s="938"/>
      <c r="R49" s="938"/>
      <c r="S49" s="938"/>
      <c r="AA49" s="946"/>
      <c r="AB49" s="947"/>
      <c r="AC49" s="947"/>
      <c r="AD49" s="191"/>
      <c r="AE49" s="885"/>
      <c r="AR49" s="191"/>
      <c r="AS49" s="191"/>
    </row>
    <row r="50" spans="3:45" ht="30" customHeight="1">
      <c r="C50" s="939"/>
      <c r="D50" s="939"/>
      <c r="E50" s="940"/>
      <c r="F50" s="940"/>
      <c r="G50" s="940"/>
      <c r="H50" s="948"/>
      <c r="I50" s="948"/>
      <c r="J50" s="948"/>
      <c r="K50" s="893"/>
      <c r="L50" s="500"/>
      <c r="M50" s="939"/>
      <c r="N50" s="939"/>
      <c r="O50" s="949"/>
      <c r="P50" s="949"/>
      <c r="Q50" s="950"/>
      <c r="R50" s="950"/>
      <c r="S50" s="950"/>
      <c r="AA50" s="946"/>
      <c r="AB50" s="947"/>
      <c r="AC50" s="947"/>
      <c r="AD50" s="191"/>
      <c r="AE50" s="886"/>
      <c r="AR50" s="191"/>
      <c r="AS50" s="191"/>
    </row>
    <row r="51" spans="3:45" ht="30" customHeight="1">
      <c r="C51" s="939"/>
      <c r="D51" s="939"/>
      <c r="E51" s="940"/>
      <c r="F51" s="940"/>
      <c r="G51" s="940"/>
      <c r="H51" s="941"/>
      <c r="I51" s="941"/>
      <c r="J51" s="941"/>
      <c r="K51" s="893"/>
      <c r="L51" s="500"/>
      <c r="M51" s="939"/>
      <c r="N51" s="939"/>
      <c r="O51" s="944"/>
      <c r="P51" s="944"/>
      <c r="Q51" s="945"/>
      <c r="R51" s="945"/>
      <c r="S51" s="945"/>
      <c r="AA51" s="771" t="str">
        <f>IF(ABS(AB51)-ABS(AC51)&lt;=0,"○","変更")</f>
        <v>○</v>
      </c>
      <c r="AB51" s="772">
        <f aca="true" t="shared" si="9" ref="AB51:AB62">K28-V28</f>
        <v>333333</v>
      </c>
      <c r="AC51" s="773">
        <f aca="true" t="shared" si="10" ref="AC51:AC62">ROUNDDOWN(K28*0.2,0)</f>
        <v>666666</v>
      </c>
      <c r="AD51" s="553" t="s">
        <v>761</v>
      </c>
      <c r="AE51" s="886"/>
      <c r="AR51" s="191"/>
      <c r="AS51" s="191"/>
    </row>
    <row r="52" spans="3:45" ht="30" customHeight="1">
      <c r="C52" s="939"/>
      <c r="D52" s="939"/>
      <c r="E52" s="940"/>
      <c r="F52" s="940"/>
      <c r="G52" s="940"/>
      <c r="H52" s="941"/>
      <c r="I52" s="941"/>
      <c r="J52" s="941"/>
      <c r="K52" s="893"/>
      <c r="L52" s="500"/>
      <c r="M52" s="939"/>
      <c r="N52" s="939"/>
      <c r="O52" s="942"/>
      <c r="P52" s="942"/>
      <c r="Q52" s="943"/>
      <c r="R52" s="943"/>
      <c r="S52" s="943"/>
      <c r="AA52" s="771" t="str">
        <f aca="true" t="shared" si="11" ref="AA52:AA62">IF(ABS(AB52)-ABS(AC52)&lt;=0,"○","変更")</f>
        <v>変更</v>
      </c>
      <c r="AB52" s="772">
        <f t="shared" si="9"/>
        <v>533332</v>
      </c>
      <c r="AC52" s="773">
        <f t="shared" si="10"/>
        <v>426665</v>
      </c>
      <c r="AD52" s="774" t="s">
        <v>927</v>
      </c>
      <c r="AE52" s="799"/>
      <c r="AR52" s="191"/>
      <c r="AS52" s="191"/>
    </row>
    <row r="53" spans="3:45" ht="30" customHeight="1">
      <c r="C53" s="929"/>
      <c r="D53" s="929"/>
      <c r="E53" s="934"/>
      <c r="F53" s="934"/>
      <c r="G53" s="934"/>
      <c r="H53" s="935"/>
      <c r="I53" s="935"/>
      <c r="J53" s="935"/>
      <c r="L53" s="499"/>
      <c r="M53" s="936"/>
      <c r="N53" s="936"/>
      <c r="O53" s="937"/>
      <c r="P53" s="937"/>
      <c r="Q53" s="938"/>
      <c r="R53" s="938"/>
      <c r="S53" s="938"/>
      <c r="AA53" s="771" t="str">
        <f t="shared" si="11"/>
        <v>○</v>
      </c>
      <c r="AB53" s="772">
        <f t="shared" si="9"/>
        <v>-34317</v>
      </c>
      <c r="AC53" s="773">
        <f t="shared" si="10"/>
        <v>39272</v>
      </c>
      <c r="AD53" s="774" t="s">
        <v>809</v>
      </c>
      <c r="AE53" s="887"/>
      <c r="AR53" s="191"/>
      <c r="AS53" s="191"/>
    </row>
    <row r="54" spans="3:45" ht="30" customHeight="1">
      <c r="C54" s="929"/>
      <c r="D54" s="929"/>
      <c r="E54" s="930"/>
      <c r="F54" s="930"/>
      <c r="G54" s="930"/>
      <c r="H54" s="931"/>
      <c r="I54" s="931"/>
      <c r="J54" s="931"/>
      <c r="L54" s="499"/>
      <c r="M54" s="283"/>
      <c r="N54" s="499"/>
      <c r="O54" s="283"/>
      <c r="P54" s="283"/>
      <c r="Q54" s="12"/>
      <c r="AA54" s="771" t="str">
        <f t="shared" si="11"/>
        <v>変更</v>
      </c>
      <c r="AB54" s="772">
        <f t="shared" si="9"/>
        <v>244428</v>
      </c>
      <c r="AC54" s="773">
        <f t="shared" si="10"/>
        <v>158739</v>
      </c>
      <c r="AD54" s="774" t="s">
        <v>928</v>
      </c>
      <c r="AE54" s="262"/>
      <c r="AR54" s="191"/>
      <c r="AS54" s="191"/>
    </row>
    <row r="55" spans="3:45" ht="30" customHeight="1">
      <c r="C55" s="12"/>
      <c r="D55" s="12"/>
      <c r="E55" s="286"/>
      <c r="F55" s="286"/>
      <c r="G55" s="286"/>
      <c r="L55" s="286"/>
      <c r="AA55" s="771" t="str">
        <f t="shared" si="11"/>
        <v>変更</v>
      </c>
      <c r="AB55" s="772">
        <f t="shared" si="9"/>
        <v>-426179</v>
      </c>
      <c r="AC55" s="773">
        <f t="shared" si="10"/>
        <v>413033</v>
      </c>
      <c r="AD55" s="774" t="s">
        <v>929</v>
      </c>
      <c r="AE55" s="191"/>
      <c r="AR55" s="191"/>
      <c r="AS55" s="191"/>
    </row>
    <row r="56" spans="12:45" ht="29.25" customHeight="1">
      <c r="L56" s="191"/>
      <c r="N56" s="285"/>
      <c r="O56" s="284"/>
      <c r="P56" s="285"/>
      <c r="Q56" s="285"/>
      <c r="R56" s="284"/>
      <c r="AA56" s="771" t="str">
        <f t="shared" si="11"/>
        <v>変更</v>
      </c>
      <c r="AB56" s="772">
        <f t="shared" si="9"/>
        <v>-131733</v>
      </c>
      <c r="AC56" s="773">
        <f t="shared" si="10"/>
        <v>38243</v>
      </c>
      <c r="AD56" s="774" t="s">
        <v>930</v>
      </c>
      <c r="AE56" s="191"/>
      <c r="AR56" s="191"/>
      <c r="AS56" s="191"/>
    </row>
    <row r="57" spans="12:45" ht="30" customHeight="1">
      <c r="L57" s="191"/>
      <c r="N57" s="287"/>
      <c r="O57" s="286"/>
      <c r="P57" s="287"/>
      <c r="R57" s="286"/>
      <c r="AA57" s="771" t="str">
        <f t="shared" si="11"/>
        <v>変更</v>
      </c>
      <c r="AB57" s="772">
        <f t="shared" si="9"/>
        <v>-42618</v>
      </c>
      <c r="AC57" s="773">
        <f t="shared" si="10"/>
        <v>41303</v>
      </c>
      <c r="AD57" s="774" t="s">
        <v>931</v>
      </c>
      <c r="AE57" s="191"/>
      <c r="AR57" s="191"/>
      <c r="AS57" s="191"/>
    </row>
    <row r="58" spans="14:45" ht="30" customHeight="1">
      <c r="N58" s="102"/>
      <c r="P58" s="102"/>
      <c r="Q58" s="288"/>
      <c r="AA58" s="771" t="str">
        <f t="shared" si="11"/>
        <v>変更</v>
      </c>
      <c r="AB58" s="772">
        <f t="shared" si="9"/>
        <v>-66475</v>
      </c>
      <c r="AC58" s="773">
        <f t="shared" si="10"/>
        <v>42068</v>
      </c>
      <c r="AD58" s="774" t="s">
        <v>932</v>
      </c>
      <c r="AE58" s="191"/>
      <c r="AR58" s="191"/>
      <c r="AS58" s="191"/>
    </row>
    <row r="59" spans="14:59" ht="30" customHeight="1">
      <c r="N59" s="102"/>
      <c r="P59" s="102"/>
      <c r="Q59" s="102"/>
      <c r="AA59" s="771" t="str">
        <f t="shared" si="11"/>
        <v>○</v>
      </c>
      <c r="AB59" s="772">
        <f t="shared" si="9"/>
        <v>-15405</v>
      </c>
      <c r="AC59" s="773">
        <f t="shared" si="10"/>
        <v>67691</v>
      </c>
      <c r="AD59" s="774" t="s">
        <v>933</v>
      </c>
      <c r="AE59" s="191"/>
      <c r="AL59" s="220"/>
      <c r="AM59" s="220"/>
      <c r="AR59" s="191"/>
      <c r="AS59" s="191"/>
      <c r="BC59" s="219"/>
      <c r="BD59" s="219"/>
      <c r="BE59" s="219"/>
      <c r="BF59" s="219"/>
      <c r="BG59" s="219"/>
    </row>
    <row r="60" spans="17:59" ht="30" customHeight="1">
      <c r="Q60" s="289"/>
      <c r="AA60" s="771" t="str">
        <f t="shared" si="11"/>
        <v>○</v>
      </c>
      <c r="AB60" s="772">
        <f t="shared" si="9"/>
        <v>36418</v>
      </c>
      <c r="AC60" s="773">
        <f t="shared" si="10"/>
        <v>76487</v>
      </c>
      <c r="AD60" s="774" t="s">
        <v>934</v>
      </c>
      <c r="AE60" s="191"/>
      <c r="AL60" s="220"/>
      <c r="AM60" s="220"/>
      <c r="AR60" s="191"/>
      <c r="AS60" s="191"/>
      <c r="BC60" s="219"/>
      <c r="BD60" s="219"/>
      <c r="BE60" s="219"/>
      <c r="BF60" s="219"/>
      <c r="BG60" s="219"/>
    </row>
    <row r="61" spans="27:59" ht="30" customHeight="1">
      <c r="AA61" s="771" t="str">
        <f t="shared" si="11"/>
        <v>変更</v>
      </c>
      <c r="AB61" s="772">
        <f t="shared" si="9"/>
        <v>-11049</v>
      </c>
      <c r="AC61" s="773">
        <f t="shared" si="10"/>
        <v>10708</v>
      </c>
      <c r="AD61" s="774" t="s">
        <v>935</v>
      </c>
      <c r="AE61" s="191"/>
      <c r="AL61" s="220"/>
      <c r="AM61" s="220"/>
      <c r="AR61" s="191"/>
      <c r="AS61" s="191"/>
      <c r="BB61" s="219"/>
      <c r="BC61"/>
      <c r="BD61"/>
      <c r="BE61"/>
      <c r="BF61"/>
      <c r="BG61"/>
    </row>
    <row r="62" spans="27:59" ht="30" customHeight="1">
      <c r="AA62" s="771" t="str">
        <f t="shared" si="11"/>
        <v>変更</v>
      </c>
      <c r="AB62" s="772">
        <f t="shared" si="9"/>
        <v>-19731</v>
      </c>
      <c r="AC62" s="773">
        <f t="shared" si="10"/>
        <v>19121</v>
      </c>
      <c r="AD62" s="775" t="s">
        <v>936</v>
      </c>
      <c r="AE62" s="191"/>
      <c r="AL62" s="220"/>
      <c r="AM62" s="220"/>
      <c r="AR62" s="191"/>
      <c r="AS62" s="191"/>
      <c r="BB62" s="219"/>
      <c r="BC62"/>
      <c r="BD62"/>
      <c r="BE62"/>
      <c r="BF62"/>
      <c r="BG62"/>
    </row>
    <row r="63" spans="27:59" ht="30" customHeight="1">
      <c r="AA63" s="776" t="str">
        <f>IF(V40-K40&lt;=0,"○","×")</f>
        <v>○</v>
      </c>
      <c r="AB63" s="777" t="s">
        <v>141</v>
      </c>
      <c r="AC63" s="888"/>
      <c r="AD63" s="784"/>
      <c r="AE63" s="191"/>
      <c r="AK63"/>
      <c r="AL63"/>
      <c r="AM63"/>
      <c r="AQ63" s="220"/>
      <c r="AS63" s="191"/>
      <c r="BG63" s="219"/>
    </row>
    <row r="64" spans="27:45" ht="30" customHeight="1">
      <c r="AA64" s="776" t="str">
        <f>IF(X71-R71&lt;=0,"○","×")</f>
        <v>○</v>
      </c>
      <c r="AB64" s="551" t="s">
        <v>926</v>
      </c>
      <c r="AC64" s="1"/>
      <c r="AD64" s="1"/>
      <c r="AE64" s="191"/>
      <c r="AK64"/>
      <c r="AL64"/>
      <c r="AM64"/>
      <c r="AN64" s="148"/>
      <c r="AR64" s="191"/>
      <c r="AS64" s="191"/>
    </row>
    <row r="65" spans="32:62" ht="30" customHeight="1">
      <c r="AF65" s="191"/>
      <c r="AG65"/>
      <c r="AH65"/>
      <c r="AI65"/>
      <c r="AJ65"/>
      <c r="AK65"/>
      <c r="AL65"/>
      <c r="AM65"/>
      <c r="AN65" s="148"/>
      <c r="AO65" s="148"/>
      <c r="AP65" s="148"/>
      <c r="AR65" s="191"/>
      <c r="AS65" s="191"/>
      <c r="BJ65" s="219"/>
    </row>
    <row r="66" spans="28:62" ht="30" customHeight="1">
      <c r="AB66" s="191"/>
      <c r="AC66" s="191"/>
      <c r="AD66" s="191"/>
      <c r="AE66" s="191"/>
      <c r="AF66" s="191"/>
      <c r="AG66"/>
      <c r="AH66"/>
      <c r="AI66"/>
      <c r="AJ66"/>
      <c r="AK66"/>
      <c r="AL66"/>
      <c r="AM66"/>
      <c r="AN66" s="234"/>
      <c r="AO66" s="236"/>
      <c r="AP66" s="235"/>
      <c r="AR66" s="191"/>
      <c r="AS66" s="191"/>
      <c r="BJ66" s="219"/>
    </row>
    <row r="67" spans="28:62" ht="30" customHeight="1">
      <c r="AB67" s="191"/>
      <c r="AC67" s="191"/>
      <c r="AD67" s="191"/>
      <c r="AE67" s="191"/>
      <c r="AF67" s="191"/>
      <c r="AG67" s="932"/>
      <c r="AH67" s="933"/>
      <c r="AI67" s="933"/>
      <c r="AJ67" s="933"/>
      <c r="AK67" s="281"/>
      <c r="AL67"/>
      <c r="AM67" s="44"/>
      <c r="AN67" s="234"/>
      <c r="AO67" s="236"/>
      <c r="AP67" s="44"/>
      <c r="AR67" s="191"/>
      <c r="AS67" s="191"/>
      <c r="BJ67" s="219"/>
    </row>
    <row r="68" spans="28:62" ht="30" customHeight="1">
      <c r="AB68" s="191"/>
      <c r="AC68" s="191"/>
      <c r="AD68" s="191"/>
      <c r="AE68" s="191"/>
      <c r="AF68" s="191"/>
      <c r="AG68" s="932"/>
      <c r="AH68" s="933"/>
      <c r="AI68" s="933"/>
      <c r="AJ68" s="933"/>
      <c r="AK68" s="281"/>
      <c r="AL68"/>
      <c r="AM68" s="44"/>
      <c r="AN68" s="234"/>
      <c r="AO68" s="236"/>
      <c r="AP68" s="44"/>
      <c r="AR68" s="191"/>
      <c r="AS68" s="191"/>
      <c r="BJ68" s="219"/>
    </row>
    <row r="69" spans="28:62" ht="30" customHeight="1">
      <c r="AB69" s="191"/>
      <c r="AC69" s="191"/>
      <c r="AD69" s="191"/>
      <c r="AE69" s="191"/>
      <c r="AF69" s="191"/>
      <c r="AI69" s="191"/>
      <c r="AJ69" s="191"/>
      <c r="AR69" s="191"/>
      <c r="AS69" s="191"/>
      <c r="BJ69" s="219"/>
    </row>
    <row r="70" spans="28:62" ht="30" customHeight="1">
      <c r="AB70" s="191"/>
      <c r="AC70" s="191"/>
      <c r="AD70" s="191"/>
      <c r="AE70" s="191"/>
      <c r="AF70" s="191"/>
      <c r="AI70" s="191"/>
      <c r="AJ70" s="191"/>
      <c r="AR70" s="191"/>
      <c r="AS70" s="191"/>
      <c r="BJ70" s="219"/>
    </row>
    <row r="71" spans="28:64" ht="30" customHeight="1">
      <c r="AB71" s="191"/>
      <c r="AC71" s="191"/>
      <c r="AD71" s="191"/>
      <c r="AE71" s="191"/>
      <c r="AF71" s="191"/>
      <c r="AI71" s="191"/>
      <c r="AJ71" s="191"/>
      <c r="AR71" s="191"/>
      <c r="AS71" s="191"/>
      <c r="AW71" s="490"/>
      <c r="AX71" s="490"/>
      <c r="AY71" s="490"/>
      <c r="AZ71" s="490"/>
      <c r="BA71" s="490"/>
      <c r="BB71" s="274"/>
      <c r="BC71" s="274"/>
      <c r="BD71" s="274"/>
      <c r="BE71" s="274"/>
      <c r="BF71" s="274"/>
      <c r="BG71" s="274"/>
      <c r="BH71" s="274"/>
      <c r="BI71" s="274"/>
      <c r="BJ71" s="274"/>
      <c r="BK71" s="274"/>
      <c r="BL71" s="274"/>
    </row>
    <row r="72" spans="28:64" ht="30" customHeight="1">
      <c r="AB72" s="191"/>
      <c r="AC72" s="191"/>
      <c r="AD72" s="191"/>
      <c r="AE72" s="1"/>
      <c r="AF72" s="1"/>
      <c r="AI72" s="191"/>
      <c r="AJ72" s="191"/>
      <c r="AR72" s="191"/>
      <c r="AS72" s="191"/>
      <c r="AW72" s="486"/>
      <c r="AX72" s="486"/>
      <c r="AY72" s="491"/>
      <c r="AZ72" s="488"/>
      <c r="BA72" s="486"/>
      <c r="BB72" s="486"/>
      <c r="BC72" s="491"/>
      <c r="BD72" s="486"/>
      <c r="BE72" s="491"/>
      <c r="BF72" s="486"/>
      <c r="BG72" s="491"/>
      <c r="BH72" s="486"/>
      <c r="BI72" s="491"/>
      <c r="BJ72" s="486"/>
      <c r="BK72" s="486"/>
      <c r="BL72" s="486"/>
    </row>
    <row r="73" spans="27:65" ht="30" customHeight="1">
      <c r="AA73" s="1"/>
      <c r="AB73" s="1"/>
      <c r="AC73" s="1"/>
      <c r="AD73" s="1"/>
      <c r="AE73" s="1"/>
      <c r="AF73" s="1"/>
      <c r="AG73" s="1"/>
      <c r="AI73" s="191"/>
      <c r="AJ73" s="191"/>
      <c r="AR73" s="191"/>
      <c r="AS73" s="191"/>
      <c r="AX73" s="486"/>
      <c r="AY73" s="486"/>
      <c r="AZ73" s="491"/>
      <c r="BA73" s="488"/>
      <c r="BB73" s="486"/>
      <c r="BC73" s="486"/>
      <c r="BD73" s="491"/>
      <c r="BE73" s="486"/>
      <c r="BF73" s="491"/>
      <c r="BG73" s="486"/>
      <c r="BH73" s="491"/>
      <c r="BI73" s="486"/>
      <c r="BJ73" s="491"/>
      <c r="BK73" s="486"/>
      <c r="BL73" s="486"/>
      <c r="BM73" s="486"/>
    </row>
    <row r="74" spans="35:66" ht="30" customHeight="1">
      <c r="AI74" s="191"/>
      <c r="AJ74" s="191"/>
      <c r="AR74" s="191"/>
      <c r="AS74" s="191"/>
      <c r="AY74" s="486"/>
      <c r="AZ74" s="486"/>
      <c r="BA74" s="491"/>
      <c r="BB74" s="488"/>
      <c r="BC74" s="486"/>
      <c r="BD74" s="486"/>
      <c r="BE74" s="491"/>
      <c r="BF74" s="486"/>
      <c r="BG74" s="491"/>
      <c r="BH74" s="486"/>
      <c r="BI74" s="491"/>
      <c r="BJ74" s="486"/>
      <c r="BK74" s="491"/>
      <c r="BL74" s="486"/>
      <c r="BM74" s="486"/>
      <c r="BN74" s="486"/>
    </row>
    <row r="75" spans="35:66" ht="30" customHeight="1">
      <c r="AI75" s="191"/>
      <c r="AJ75" s="191"/>
      <c r="AR75" s="191"/>
      <c r="AS75" s="191"/>
      <c r="AY75" s="486"/>
      <c r="AZ75" s="486"/>
      <c r="BA75" s="274"/>
      <c r="BB75" s="488"/>
      <c r="BC75" s="274"/>
      <c r="BD75" s="486"/>
      <c r="BE75" s="491"/>
      <c r="BF75" s="486"/>
      <c r="BG75" s="491"/>
      <c r="BH75" s="486"/>
      <c r="BI75" s="491"/>
      <c r="BJ75" s="486"/>
      <c r="BK75" s="491"/>
      <c r="BL75" s="486"/>
      <c r="BM75" s="486"/>
      <c r="BN75" s="486"/>
    </row>
    <row r="76" spans="35:66" ht="30" customHeight="1">
      <c r="AI76" s="191"/>
      <c r="AJ76" s="191"/>
      <c r="AR76" s="191"/>
      <c r="AS76" s="191"/>
      <c r="AY76" s="489"/>
      <c r="AZ76" s="489"/>
      <c r="BA76" s="489"/>
      <c r="BB76" s="489"/>
      <c r="BC76" s="489"/>
      <c r="BD76" s="489"/>
      <c r="BE76" s="489"/>
      <c r="BF76" s="489"/>
      <c r="BG76" s="489"/>
      <c r="BH76" s="489"/>
      <c r="BI76" s="489"/>
      <c r="BJ76" s="489"/>
      <c r="BK76" s="489"/>
      <c r="BL76" s="485"/>
      <c r="BM76" s="485"/>
      <c r="BN76" s="485"/>
    </row>
    <row r="77" spans="35:66" ht="30" customHeight="1">
      <c r="AI77" s="191"/>
      <c r="AJ77" s="191"/>
      <c r="AR77" s="191"/>
      <c r="AS77" s="191"/>
      <c r="AY77" s="274"/>
      <c r="AZ77" s="490"/>
      <c r="BA77" s="274"/>
      <c r="BB77" s="490"/>
      <c r="BC77" s="274"/>
      <c r="BD77" s="490"/>
      <c r="BE77" s="274"/>
      <c r="BF77" s="490"/>
      <c r="BG77" s="274"/>
      <c r="BH77" s="490"/>
      <c r="BI77" s="274"/>
      <c r="BJ77" s="490"/>
      <c r="BK77" s="274"/>
      <c r="BL77" s="487"/>
      <c r="BM77" s="487"/>
      <c r="BN77" s="487"/>
    </row>
    <row r="78" spans="35:59" ht="30" customHeight="1">
      <c r="AI78" s="191"/>
      <c r="AJ78" s="191"/>
      <c r="AR78" s="191"/>
      <c r="AS78" s="191"/>
      <c r="AY78"/>
      <c r="AZ78"/>
      <c r="BA78"/>
      <c r="BB78"/>
      <c r="BC78"/>
      <c r="BD78"/>
      <c r="BE78"/>
      <c r="BF78"/>
      <c r="BG78"/>
    </row>
    <row r="79" spans="35:45" ht="30" customHeight="1">
      <c r="AI79" s="191"/>
      <c r="AJ79" s="191"/>
      <c r="AR79" s="191"/>
      <c r="AS79" s="191"/>
    </row>
    <row r="80" spans="35:45" ht="30" customHeight="1">
      <c r="AI80" s="191"/>
      <c r="AJ80" s="191"/>
      <c r="AR80" s="191"/>
      <c r="AS80" s="191"/>
    </row>
    <row r="81" spans="35:45" ht="30" customHeight="1">
      <c r="AI81" s="191"/>
      <c r="AJ81" s="191"/>
      <c r="AR81" s="191"/>
      <c r="AS81" s="191"/>
    </row>
    <row r="82" spans="35:66" ht="30" customHeight="1">
      <c r="AI82" s="191"/>
      <c r="AJ82" s="191"/>
      <c r="AR82" s="191"/>
      <c r="AS82" s="191"/>
      <c r="AY82"/>
      <c r="AZ82"/>
      <c r="BA82"/>
      <c r="BB82"/>
      <c r="BC82"/>
      <c r="BD82"/>
      <c r="BE82"/>
      <c r="BF82"/>
      <c r="BG82"/>
      <c r="BH82"/>
      <c r="BI82"/>
      <c r="BJ82"/>
      <c r="BK82"/>
      <c r="BL82" s="1"/>
      <c r="BM82" s="1"/>
      <c r="BN82" s="1"/>
    </row>
    <row r="83" spans="35:66" ht="30" customHeight="1">
      <c r="AI83" s="191"/>
      <c r="AJ83" s="191"/>
      <c r="AR83" s="191"/>
      <c r="AS83" s="191"/>
      <c r="AY83"/>
      <c r="AZ83"/>
      <c r="BA83"/>
      <c r="BB83"/>
      <c r="BC83"/>
      <c r="BD83"/>
      <c r="BE83"/>
      <c r="BF83"/>
      <c r="BG83"/>
      <c r="BH83"/>
      <c r="BI83"/>
      <c r="BJ83"/>
      <c r="BK83"/>
      <c r="BL83" s="1"/>
      <c r="BM83" s="1"/>
      <c r="BN83" s="1"/>
    </row>
    <row r="84" spans="33:66" ht="30" customHeight="1">
      <c r="AG84" s="1"/>
      <c r="AH84" s="1"/>
      <c r="AI84" s="191"/>
      <c r="AJ84" s="191"/>
      <c r="AR84" s="191"/>
      <c r="AS84" s="191"/>
      <c r="AY84"/>
      <c r="AZ84"/>
      <c r="BA84"/>
      <c r="BB84"/>
      <c r="BC84"/>
      <c r="BD84"/>
      <c r="BE84"/>
      <c r="BF84"/>
      <c r="BG84"/>
      <c r="BH84"/>
      <c r="BI84"/>
      <c r="BJ84"/>
      <c r="BK84"/>
      <c r="BL84" s="1"/>
      <c r="BM84" s="1"/>
      <c r="BN84" s="1"/>
    </row>
    <row r="85" spans="26:63" ht="21.75" customHeight="1">
      <c r="Z85" s="222"/>
      <c r="AA85" s="223"/>
      <c r="AB85" s="575"/>
      <c r="AC85" s="575"/>
      <c r="AD85" s="575"/>
      <c r="AE85" s="889"/>
      <c r="AF85" s="576"/>
      <c r="AI85" s="191"/>
      <c r="AJ85" s="191"/>
      <c r="AR85" s="191"/>
      <c r="AS85" s="191"/>
      <c r="AY85"/>
      <c r="AZ85"/>
      <c r="BA85"/>
      <c r="BB85"/>
      <c r="BC85"/>
      <c r="BD85"/>
      <c r="BE85"/>
      <c r="BF85"/>
      <c r="BG85"/>
      <c r="BH85"/>
      <c r="BI85"/>
      <c r="BJ85"/>
      <c r="BK85"/>
    </row>
    <row r="86" spans="35:61" ht="21.75" customHeight="1">
      <c r="AI86" s="191"/>
      <c r="AJ86" s="191"/>
      <c r="AR86" s="191"/>
      <c r="AS86" s="191"/>
      <c r="AY86"/>
      <c r="AZ86"/>
      <c r="BA86"/>
      <c r="BB86"/>
      <c r="BC86"/>
      <c r="BD86"/>
      <c r="BE86"/>
      <c r="BF86"/>
      <c r="BG86"/>
      <c r="BH86"/>
      <c r="BI86"/>
    </row>
    <row r="87" spans="35:61" ht="21.75" customHeight="1">
      <c r="AI87" s="191"/>
      <c r="AJ87" s="191"/>
      <c r="AR87" s="191"/>
      <c r="AS87" s="191"/>
      <c r="AY87"/>
      <c r="AZ87"/>
      <c r="BA87"/>
      <c r="BB87"/>
      <c r="BC87"/>
      <c r="BD87"/>
      <c r="BE87"/>
      <c r="BF87"/>
      <c r="BG87"/>
      <c r="BH87"/>
      <c r="BI87"/>
    </row>
    <row r="88" spans="35:61" ht="21.75" customHeight="1">
      <c r="AI88" s="191"/>
      <c r="AJ88" s="191"/>
      <c r="AR88" s="191"/>
      <c r="AS88" s="191"/>
      <c r="AY88"/>
      <c r="AZ88"/>
      <c r="BA88"/>
      <c r="BB88"/>
      <c r="BC88"/>
      <c r="BD88"/>
      <c r="BE88"/>
      <c r="BF88"/>
      <c r="BG88"/>
      <c r="BH88"/>
      <c r="BI88"/>
    </row>
    <row r="89" spans="35:61" ht="13.5">
      <c r="AI89" s="191"/>
      <c r="AJ89" s="191"/>
      <c r="AR89" s="191"/>
      <c r="AS89" s="191"/>
      <c r="AY89"/>
      <c r="AZ89"/>
      <c r="BA89"/>
      <c r="BB89"/>
      <c r="BC89"/>
      <c r="BD89"/>
      <c r="BE89"/>
      <c r="BF89"/>
      <c r="BG89"/>
      <c r="BH89"/>
      <c r="BI89"/>
    </row>
    <row r="90" spans="35:61" ht="13.5">
      <c r="AI90" s="191"/>
      <c r="AJ90" s="191"/>
      <c r="AR90" s="191"/>
      <c r="AS90" s="191"/>
      <c r="AY90"/>
      <c r="AZ90"/>
      <c r="BA90"/>
      <c r="BB90"/>
      <c r="BC90"/>
      <c r="BD90"/>
      <c r="BE90"/>
      <c r="BF90"/>
      <c r="BG90"/>
      <c r="BH90"/>
      <c r="BI90"/>
    </row>
    <row r="91" spans="35:62" ht="13.5">
      <c r="AI91" s="190"/>
      <c r="AJ91"/>
      <c r="AK91"/>
      <c r="AP91"/>
      <c r="AQ91"/>
      <c r="AR91"/>
      <c r="AS91"/>
      <c r="AT91"/>
      <c r="AU91"/>
      <c r="AV91"/>
      <c r="AW91"/>
      <c r="AX91"/>
      <c r="AY91"/>
      <c r="AZ91"/>
      <c r="BA91"/>
      <c r="BB91"/>
      <c r="BC91"/>
      <c r="BD91"/>
      <c r="BE91"/>
      <c r="BF91"/>
      <c r="BG91"/>
      <c r="BH91"/>
      <c r="BI91"/>
      <c r="BJ91"/>
    </row>
    <row r="92" spans="35:62" ht="13.5">
      <c r="AI92" s="246"/>
      <c r="AJ92"/>
      <c r="AK92"/>
      <c r="AL92" s="270"/>
      <c r="AM92"/>
      <c r="AN92"/>
      <c r="AO92"/>
      <c r="AP92"/>
      <c r="AQ92"/>
      <c r="AR92"/>
      <c r="AS92"/>
      <c r="AT92"/>
      <c r="AU92"/>
      <c r="AV92"/>
      <c r="AW92"/>
      <c r="AX92"/>
      <c r="AY92"/>
      <c r="AZ92"/>
      <c r="BA92"/>
      <c r="BB92"/>
      <c r="BC92"/>
      <c r="BD92"/>
      <c r="BE92"/>
      <c r="BF92"/>
      <c r="BG92"/>
      <c r="BH92"/>
      <c r="BI92"/>
      <c r="BJ92"/>
    </row>
    <row r="93" spans="35:62" ht="13.5">
      <c r="AI93" s="190"/>
      <c r="AJ93"/>
      <c r="AK93"/>
      <c r="AL93" s="271"/>
      <c r="AM93"/>
      <c r="AN93"/>
      <c r="AO93"/>
      <c r="AP93"/>
      <c r="AQ93"/>
      <c r="AR93"/>
      <c r="AS93"/>
      <c r="AT93"/>
      <c r="AU93"/>
      <c r="AV93"/>
      <c r="AW93"/>
      <c r="AX93"/>
      <c r="AY93"/>
      <c r="AZ93"/>
      <c r="BA93"/>
      <c r="BB93"/>
      <c r="BC93"/>
      <c r="BD93"/>
      <c r="BE93"/>
      <c r="BF93"/>
      <c r="BG93"/>
      <c r="BH93"/>
      <c r="BI93"/>
      <c r="BJ93"/>
    </row>
    <row r="94" spans="35:62" ht="13.5">
      <c r="AI94" s="191"/>
      <c r="AJ94"/>
      <c r="AK94"/>
      <c r="AL94" s="271"/>
      <c r="AM94"/>
      <c r="AN94"/>
      <c r="AO94"/>
      <c r="AP94"/>
      <c r="AQ94"/>
      <c r="AR94"/>
      <c r="AS94"/>
      <c r="AT94"/>
      <c r="AU94"/>
      <c r="AV94"/>
      <c r="AW94"/>
      <c r="AX94"/>
      <c r="AY94"/>
      <c r="AZ94"/>
      <c r="BA94"/>
      <c r="BB94"/>
      <c r="BC94"/>
      <c r="BD94"/>
      <c r="BE94"/>
      <c r="BF94"/>
      <c r="BG94"/>
      <c r="BH94"/>
      <c r="BI94"/>
      <c r="BJ94"/>
    </row>
    <row r="95" spans="37:65" ht="17.25">
      <c r="AK95" s="267"/>
      <c r="AM95"/>
      <c r="AN95"/>
      <c r="AP95"/>
      <c r="AQ95"/>
      <c r="AR95"/>
      <c r="AS95"/>
      <c r="AT95"/>
      <c r="AU95"/>
      <c r="AV95"/>
      <c r="AW95"/>
      <c r="AX95"/>
      <c r="AY95"/>
      <c r="AZ95"/>
      <c r="BA95"/>
      <c r="BB95"/>
      <c r="BC95"/>
      <c r="BD95"/>
      <c r="BE95"/>
      <c r="BF95"/>
      <c r="BG95"/>
      <c r="BH95"/>
      <c r="BI95"/>
      <c r="BJ95"/>
      <c r="BK95"/>
      <c r="BL95"/>
      <c r="BM95"/>
    </row>
    <row r="96" spans="37:65" ht="17.25">
      <c r="AK96" s="267"/>
      <c r="AM96"/>
      <c r="AN96"/>
      <c r="AP96"/>
      <c r="AQ96"/>
      <c r="AR96"/>
      <c r="AS96"/>
      <c r="AT96"/>
      <c r="AU96"/>
      <c r="AV96"/>
      <c r="AW96"/>
      <c r="AX96"/>
      <c r="AY96"/>
      <c r="AZ96"/>
      <c r="BA96"/>
      <c r="BB96"/>
      <c r="BC96"/>
      <c r="BD96"/>
      <c r="BE96"/>
      <c r="BF96"/>
      <c r="BG96"/>
      <c r="BH96"/>
      <c r="BI96"/>
      <c r="BJ96"/>
      <c r="BK96"/>
      <c r="BL96"/>
      <c r="BM96"/>
    </row>
    <row r="97" spans="37:65" ht="17.25">
      <c r="AK97" s="267"/>
      <c r="AP97"/>
      <c r="AQ97"/>
      <c r="AR97"/>
      <c r="AS97"/>
      <c r="AT97"/>
      <c r="AU97"/>
      <c r="AV97"/>
      <c r="AW97"/>
      <c r="AX97"/>
      <c r="AY97"/>
      <c r="AZ97"/>
      <c r="BA97"/>
      <c r="BB97"/>
      <c r="BC97"/>
      <c r="BD97"/>
      <c r="BE97"/>
      <c r="BF97"/>
      <c r="BG97"/>
      <c r="BH97"/>
      <c r="BI97"/>
      <c r="BJ97"/>
      <c r="BK97"/>
      <c r="BL97"/>
      <c r="BM97"/>
    </row>
    <row r="98" spans="37:68" ht="17.25">
      <c r="AK98" s="267"/>
      <c r="AR98" s="191"/>
      <c r="AS98"/>
      <c r="AT98"/>
      <c r="AU98"/>
      <c r="AV98"/>
      <c r="AW98"/>
      <c r="AX98"/>
      <c r="AY98"/>
      <c r="AZ98"/>
      <c r="BA98"/>
      <c r="BB98"/>
      <c r="BC98"/>
      <c r="BD98"/>
      <c r="BE98"/>
      <c r="BF98"/>
      <c r="BG98"/>
      <c r="BH98"/>
      <c r="BI98"/>
      <c r="BJ98"/>
      <c r="BK98"/>
      <c r="BL98"/>
      <c r="BM98"/>
      <c r="BN98"/>
      <c r="BO98"/>
      <c r="BP98"/>
    </row>
    <row r="99" spans="37:64" ht="17.25">
      <c r="AK99" s="267"/>
      <c r="AP99" s="1"/>
      <c r="AQ99" s="1"/>
      <c r="AR99"/>
      <c r="AS99"/>
      <c r="AT99"/>
      <c r="AU99"/>
      <c r="AV99"/>
      <c r="AW99"/>
      <c r="AX99"/>
      <c r="AY99"/>
      <c r="AZ99"/>
      <c r="BA99"/>
      <c r="BB99"/>
      <c r="BC99"/>
      <c r="BD99"/>
      <c r="BE99"/>
      <c r="BF99"/>
      <c r="BG99"/>
      <c r="BH99"/>
      <c r="BI99"/>
      <c r="BJ99"/>
      <c r="BK99"/>
      <c r="BL99"/>
    </row>
    <row r="100" spans="37:57" ht="17.25">
      <c r="AK100" s="267"/>
      <c r="AM100"/>
      <c r="AN100"/>
      <c r="AO100"/>
      <c r="AP100"/>
      <c r="AQ100"/>
      <c r="AR100"/>
      <c r="AS100"/>
      <c r="AT100"/>
      <c r="AU100"/>
      <c r="AV100"/>
      <c r="AW100"/>
      <c r="AX100"/>
      <c r="AY100"/>
      <c r="AZ100"/>
      <c r="BA100"/>
      <c r="BB100"/>
      <c r="BC100"/>
      <c r="BD100"/>
      <c r="BE100"/>
    </row>
    <row r="101" spans="37:52" ht="13.5">
      <c r="AK101"/>
      <c r="AL101"/>
      <c r="AN101" s="275"/>
      <c r="AO101"/>
      <c r="AP101"/>
      <c r="AQ101"/>
      <c r="AR101"/>
      <c r="AS101"/>
      <c r="AT101"/>
      <c r="AU101"/>
      <c r="AV101"/>
      <c r="AW101"/>
      <c r="AX101"/>
      <c r="AY101"/>
      <c r="AZ101"/>
    </row>
    <row r="102" spans="37:52" ht="13.5">
      <c r="AK102" s="220"/>
      <c r="AL102" s="220"/>
      <c r="AN102" s="275"/>
      <c r="AO102"/>
      <c r="AP102"/>
      <c r="AQ102"/>
      <c r="AR102"/>
      <c r="AS102"/>
      <c r="AT102"/>
      <c r="AU102"/>
      <c r="AV102"/>
      <c r="AW102"/>
      <c r="AX102"/>
      <c r="AY102"/>
      <c r="AZ102"/>
    </row>
    <row r="103" spans="41:59" ht="14.25">
      <c r="AO103" s="262"/>
      <c r="AT103" s="148"/>
      <c r="AU103" s="148"/>
      <c r="AV103"/>
      <c r="AW103"/>
      <c r="AX103"/>
      <c r="AY103"/>
      <c r="AZ103"/>
      <c r="BA103"/>
      <c r="BB103"/>
      <c r="BC103"/>
      <c r="BD103"/>
      <c r="BE103"/>
      <c r="BF103"/>
      <c r="BG103"/>
    </row>
    <row r="104" spans="37:45" ht="13.5">
      <c r="AK104"/>
      <c r="AL104"/>
      <c r="AM104"/>
      <c r="AN104"/>
      <c r="AO104"/>
      <c r="AP104"/>
      <c r="AR104" s="191"/>
      <c r="AS104" s="191"/>
    </row>
    <row r="105" spans="37:45" ht="13.5">
      <c r="AK105"/>
      <c r="AL105"/>
      <c r="AM105"/>
      <c r="AN105"/>
      <c r="AO105"/>
      <c r="AR105" s="191"/>
      <c r="AS105" s="191"/>
    </row>
    <row r="106" spans="37:45" ht="13.5">
      <c r="AK106"/>
      <c r="AL106"/>
      <c r="AM106"/>
      <c r="AN106"/>
      <c r="AO106"/>
      <c r="AP106"/>
      <c r="AQ106"/>
      <c r="AR106"/>
      <c r="AS106"/>
    </row>
    <row r="107" spans="37:45" ht="13.5">
      <c r="AK107"/>
      <c r="AL107"/>
      <c r="AM107"/>
      <c r="AN107"/>
      <c r="AO107"/>
      <c r="AP107"/>
      <c r="AQ107"/>
      <c r="AR107"/>
      <c r="AS107"/>
    </row>
    <row r="108" spans="37:45" ht="13.5">
      <c r="AK108"/>
      <c r="AL108"/>
      <c r="AM108"/>
      <c r="AN108"/>
      <c r="AO108"/>
      <c r="AP108"/>
      <c r="AQ108"/>
      <c r="AR108"/>
      <c r="AS108"/>
    </row>
    <row r="109" spans="37:45" ht="13.5">
      <c r="AK109"/>
      <c r="AL109"/>
      <c r="AM109"/>
      <c r="AN109"/>
      <c r="AO109"/>
      <c r="AP109"/>
      <c r="AQ109"/>
      <c r="AR109"/>
      <c r="AS109"/>
    </row>
    <row r="110" spans="37:45" ht="13.5">
      <c r="AK110"/>
      <c r="AL110"/>
      <c r="AM110"/>
      <c r="AN110"/>
      <c r="AO110"/>
      <c r="AP110"/>
      <c r="AQ110"/>
      <c r="AR110"/>
      <c r="AS110"/>
    </row>
    <row r="111" spans="44:45" ht="11.25">
      <c r="AR111" s="191"/>
      <c r="AS111" s="191"/>
    </row>
    <row r="112" spans="44:45" ht="11.25">
      <c r="AR112" s="191"/>
      <c r="AS112" s="191"/>
    </row>
    <row r="113" spans="44:45" ht="11.25">
      <c r="AR113" s="191"/>
      <c r="AS113" s="191"/>
    </row>
    <row r="114" spans="44:45" ht="11.25">
      <c r="AR114" s="191"/>
      <c r="AS114" s="191"/>
    </row>
    <row r="115" spans="44:45" ht="11.25">
      <c r="AR115" s="191"/>
      <c r="AS115" s="191"/>
    </row>
    <row r="116" spans="44:45" ht="11.25">
      <c r="AR116" s="191"/>
      <c r="AS116" s="191"/>
    </row>
    <row r="117" spans="44:45" ht="11.25">
      <c r="AR117" s="191"/>
      <c r="AS117" s="191"/>
    </row>
    <row r="118" spans="35:45" ht="11.25">
      <c r="AI118" s="191"/>
      <c r="AK118" s="220"/>
      <c r="AR118" s="191"/>
      <c r="AS118" s="191"/>
    </row>
    <row r="119" spans="26:32" ht="14.25">
      <c r="Z119"/>
      <c r="AA119"/>
      <c r="AB119" s="576"/>
      <c r="AC119" s="576"/>
      <c r="AD119" s="577"/>
      <c r="AE119" s="890"/>
      <c r="AF119" s="577"/>
    </row>
  </sheetData>
  <sheetProtection sheet="1"/>
  <mergeCells count="116">
    <mergeCell ref="B9:B10"/>
    <mergeCell ref="P10:P11"/>
    <mergeCell ref="Q10:V11"/>
    <mergeCell ref="B11:B12"/>
    <mergeCell ref="H12:J12"/>
    <mergeCell ref="P12:P13"/>
    <mergeCell ref="Q12:V12"/>
    <mergeCell ref="B13:B14"/>
    <mergeCell ref="Q13:U13"/>
    <mergeCell ref="C14:G14"/>
    <mergeCell ref="H14:J14"/>
    <mergeCell ref="P14:P15"/>
    <mergeCell ref="Q14:V14"/>
    <mergeCell ref="B15:B16"/>
    <mergeCell ref="Q15:U15"/>
    <mergeCell ref="C16:G16"/>
    <mergeCell ref="H16:J16"/>
    <mergeCell ref="P16:P17"/>
    <mergeCell ref="Q16:V16"/>
    <mergeCell ref="AB16:AD16"/>
    <mergeCell ref="Q17:U17"/>
    <mergeCell ref="AB17:AD17"/>
    <mergeCell ref="P18:P19"/>
    <mergeCell ref="Q18:V18"/>
    <mergeCell ref="AB18:AD18"/>
    <mergeCell ref="Q19:U19"/>
    <mergeCell ref="AB19:AD19"/>
    <mergeCell ref="F20:I20"/>
    <mergeCell ref="AB20:AD20"/>
    <mergeCell ref="D22:I22"/>
    <mergeCell ref="B24:C24"/>
    <mergeCell ref="B25:C27"/>
    <mergeCell ref="D25:K25"/>
    <mergeCell ref="L25:L27"/>
    <mergeCell ref="M25:V25"/>
    <mergeCell ref="AC25:AC27"/>
    <mergeCell ref="W26:Y26"/>
    <mergeCell ref="AG25:AG27"/>
    <mergeCell ref="AH25:AH27"/>
    <mergeCell ref="AL25:AL27"/>
    <mergeCell ref="D26:G26"/>
    <mergeCell ref="H26:I26"/>
    <mergeCell ref="J26:K26"/>
    <mergeCell ref="M26:N26"/>
    <mergeCell ref="O26:P26"/>
    <mergeCell ref="Q26:T26"/>
    <mergeCell ref="U26:V26"/>
    <mergeCell ref="AI26:AI27"/>
    <mergeCell ref="AJ26:AJ27"/>
    <mergeCell ref="AK26:AK27"/>
    <mergeCell ref="D27:E27"/>
    <mergeCell ref="F27:G27"/>
    <mergeCell ref="H27:I27"/>
    <mergeCell ref="J27:K27"/>
    <mergeCell ref="M27:N27"/>
    <mergeCell ref="O27:P27"/>
    <mergeCell ref="Q27:R27"/>
    <mergeCell ref="S27:T27"/>
    <mergeCell ref="U27:V27"/>
    <mergeCell ref="B28:C28"/>
    <mergeCell ref="AL28:AL39"/>
    <mergeCell ref="B29:C29"/>
    <mergeCell ref="B30:C30"/>
    <mergeCell ref="B31:C31"/>
    <mergeCell ref="B32:C32"/>
    <mergeCell ref="B33:C33"/>
    <mergeCell ref="B34:C34"/>
    <mergeCell ref="B35:C35"/>
    <mergeCell ref="B36:C36"/>
    <mergeCell ref="B37:C37"/>
    <mergeCell ref="B38:C38"/>
    <mergeCell ref="B39:C39"/>
    <mergeCell ref="B40:C40"/>
    <mergeCell ref="H41:K41"/>
    <mergeCell ref="N41:R41"/>
    <mergeCell ref="T41:Y41"/>
    <mergeCell ref="F42:I42"/>
    <mergeCell ref="U46:V46"/>
    <mergeCell ref="C48:D49"/>
    <mergeCell ref="E48:G49"/>
    <mergeCell ref="H48:J49"/>
    <mergeCell ref="M48:N49"/>
    <mergeCell ref="O48:P49"/>
    <mergeCell ref="Q48:S49"/>
    <mergeCell ref="AA48:AA50"/>
    <mergeCell ref="AB48:AB50"/>
    <mergeCell ref="AC48:AC50"/>
    <mergeCell ref="C50:D50"/>
    <mergeCell ref="E50:G50"/>
    <mergeCell ref="H50:J50"/>
    <mergeCell ref="M50:N50"/>
    <mergeCell ref="O50:P50"/>
    <mergeCell ref="Q50:S50"/>
    <mergeCell ref="C51:D51"/>
    <mergeCell ref="E51:G51"/>
    <mergeCell ref="H51:J51"/>
    <mergeCell ref="M51:N51"/>
    <mergeCell ref="O51:P51"/>
    <mergeCell ref="Q51:S51"/>
    <mergeCell ref="Q53:S53"/>
    <mergeCell ref="C52:D52"/>
    <mergeCell ref="E52:G52"/>
    <mergeCell ref="H52:J52"/>
    <mergeCell ref="M52:N52"/>
    <mergeCell ref="O52:P52"/>
    <mergeCell ref="Q52:S52"/>
    <mergeCell ref="C54:D54"/>
    <mergeCell ref="E54:G54"/>
    <mergeCell ref="H54:J54"/>
    <mergeCell ref="AG67:AG68"/>
    <mergeCell ref="AH67:AJ68"/>
    <mergeCell ref="C53:D53"/>
    <mergeCell ref="E53:G53"/>
    <mergeCell ref="H53:J53"/>
    <mergeCell ref="M53:N53"/>
    <mergeCell ref="O53:P53"/>
  </mergeCells>
  <conditionalFormatting sqref="V33">
    <cfRule type="expression" priority="28" dxfId="60" stopIfTrue="1">
      <formula>$U$33="×"</formula>
    </cfRule>
  </conditionalFormatting>
  <conditionalFormatting sqref="V34">
    <cfRule type="expression" priority="27" dxfId="60" stopIfTrue="1">
      <formula>$U$34="×"</formula>
    </cfRule>
  </conditionalFormatting>
  <conditionalFormatting sqref="V35">
    <cfRule type="expression" priority="26" dxfId="60" stopIfTrue="1">
      <formula>$U$35="×"</formula>
    </cfRule>
  </conditionalFormatting>
  <conditionalFormatting sqref="V36">
    <cfRule type="expression" priority="25" dxfId="60" stopIfTrue="1">
      <formula>$U$36="×"</formula>
    </cfRule>
  </conditionalFormatting>
  <conditionalFormatting sqref="V37">
    <cfRule type="expression" priority="24" dxfId="60" stopIfTrue="1">
      <formula>$U$37="×"</formula>
    </cfRule>
  </conditionalFormatting>
  <conditionalFormatting sqref="V38">
    <cfRule type="expression" priority="23" dxfId="60" stopIfTrue="1">
      <formula>$U$38="×"</formula>
    </cfRule>
  </conditionalFormatting>
  <conditionalFormatting sqref="V39">
    <cfRule type="expression" priority="22" dxfId="60" stopIfTrue="1">
      <formula>$U$39="×"</formula>
    </cfRule>
  </conditionalFormatting>
  <conditionalFormatting sqref="V28">
    <cfRule type="expression" priority="31" dxfId="60" stopIfTrue="1">
      <formula>$U$28="×"</formula>
    </cfRule>
  </conditionalFormatting>
  <conditionalFormatting sqref="V29">
    <cfRule type="expression" priority="30" dxfId="60" stopIfTrue="1">
      <formula>$U$29="×"</formula>
    </cfRule>
  </conditionalFormatting>
  <conditionalFormatting sqref="V30">
    <cfRule type="expression" priority="29" dxfId="60" stopIfTrue="1">
      <formula>$U$30="×"</formula>
    </cfRule>
  </conditionalFormatting>
  <conditionalFormatting sqref="V32">
    <cfRule type="expression" priority="21" dxfId="60" stopIfTrue="1">
      <formula>$U$32="×"</formula>
    </cfRule>
  </conditionalFormatting>
  <conditionalFormatting sqref="I35">
    <cfRule type="expression" priority="20" dxfId="60" stopIfTrue="1">
      <formula>$H$18="×"</formula>
    </cfRule>
  </conditionalFormatting>
  <conditionalFormatting sqref="K31">
    <cfRule type="expression" priority="16" dxfId="60" stopIfTrue="1">
      <formula>$J$31="×"</formula>
    </cfRule>
  </conditionalFormatting>
  <conditionalFormatting sqref="K33">
    <cfRule type="expression" priority="15" dxfId="60" stopIfTrue="1">
      <formula>$J$33="×"</formula>
    </cfRule>
  </conditionalFormatting>
  <conditionalFormatting sqref="K34">
    <cfRule type="expression" priority="14" dxfId="60" stopIfTrue="1">
      <formula>$J$34="×"</formula>
    </cfRule>
  </conditionalFormatting>
  <conditionalFormatting sqref="K35">
    <cfRule type="expression" priority="13" dxfId="60" stopIfTrue="1">
      <formula>$J$35="×"</formula>
    </cfRule>
  </conditionalFormatting>
  <conditionalFormatting sqref="K36">
    <cfRule type="expression" priority="12" dxfId="60" stopIfTrue="1">
      <formula>$J$36="×"</formula>
    </cfRule>
  </conditionalFormatting>
  <conditionalFormatting sqref="K37">
    <cfRule type="expression" priority="11" dxfId="60" stopIfTrue="1">
      <formula>$J$37="×"</formula>
    </cfRule>
  </conditionalFormatting>
  <conditionalFormatting sqref="K38">
    <cfRule type="expression" priority="10" dxfId="60" stopIfTrue="1">
      <formula>$J$38="×"</formula>
    </cfRule>
  </conditionalFormatting>
  <conditionalFormatting sqref="K39">
    <cfRule type="expression" priority="9" dxfId="60" stopIfTrue="1">
      <formula>$J$39="×"</formula>
    </cfRule>
  </conditionalFormatting>
  <conditionalFormatting sqref="K28">
    <cfRule type="expression" priority="19" dxfId="60" stopIfTrue="1">
      <formula>$J$28="×"</formula>
    </cfRule>
  </conditionalFormatting>
  <conditionalFormatting sqref="K29">
    <cfRule type="expression" priority="18" dxfId="60" stopIfTrue="1">
      <formula>$J$29="×"</formula>
    </cfRule>
  </conditionalFormatting>
  <conditionalFormatting sqref="K30">
    <cfRule type="expression" priority="17" dxfId="60" stopIfTrue="1">
      <formula>$J$30="×"</formula>
    </cfRule>
  </conditionalFormatting>
  <conditionalFormatting sqref="K32">
    <cfRule type="expression" priority="8" dxfId="60" stopIfTrue="1">
      <formula>$J$32="×"</formula>
    </cfRule>
  </conditionalFormatting>
  <conditionalFormatting sqref="I33">
    <cfRule type="expression" priority="32" dxfId="60" stopIfTrue="1">
      <formula>'様式3-1別紙1　新旧対比表'!#REF!="×"</formula>
    </cfRule>
  </conditionalFormatting>
  <conditionalFormatting sqref="I34">
    <cfRule type="expression" priority="33" dxfId="60" stopIfTrue="1">
      <formula>'様式3-1別紙1　新旧対比表'!#REF!="×"</formula>
    </cfRule>
  </conditionalFormatting>
  <conditionalFormatting sqref="I33:I34">
    <cfRule type="expression" priority="34" dxfId="60" stopIfTrue="1">
      <formula>'様式3-1別紙1　新旧対比表'!#REF!="×"</formula>
    </cfRule>
  </conditionalFormatting>
  <conditionalFormatting sqref="K11:K12 C12:H12 B11:I11 K40">
    <cfRule type="expression" priority="35" dxfId="60" stopIfTrue="1">
      <formula>$B$11="×"</formula>
    </cfRule>
  </conditionalFormatting>
  <conditionalFormatting sqref="R28:R29 V28:V29 T28:T29 K13:K14 C14 B13:I13 I28:I29 K28:K29 H14 E28:E39 N28:N39">
    <cfRule type="expression" priority="36" dxfId="60" stopIfTrue="1">
      <formula>$B$13="×"</formula>
    </cfRule>
  </conditionalFormatting>
  <conditionalFormatting sqref="V28:V30 V32:V39 K15:K16 C16 B15:I15 K28:K30 K32:K39 H16">
    <cfRule type="expression" priority="37" dxfId="60" stopIfTrue="1">
      <formula>$B$15="×"</formula>
    </cfRule>
  </conditionalFormatting>
  <conditionalFormatting sqref="Q13 R33 V13 S13 T33 S12:V12 P12:Q12 R12:R13">
    <cfRule type="expression" priority="38" dxfId="60" stopIfTrue="1">
      <formula>$P$12="×"</formula>
    </cfRule>
  </conditionalFormatting>
  <conditionalFormatting sqref="Q15 R34 V15 S15 T34 S14:V14 P14:Q14 R14:R15">
    <cfRule type="expression" priority="39" dxfId="60" stopIfTrue="1">
      <formula>$P$14="×"</formula>
    </cfRule>
  </conditionalFormatting>
  <conditionalFormatting sqref="Q17 R33:R34 V17 S17 T33:T34 S16:V16 P16:Q16 R16:R17">
    <cfRule type="expression" priority="40" dxfId="60" stopIfTrue="1">
      <formula>$P$16="×"</formula>
    </cfRule>
  </conditionalFormatting>
  <conditionalFormatting sqref="Q19 R35 V19 S19 T35 S18:V18 P18:Q18 R18:R19">
    <cfRule type="expression" priority="41" dxfId="60" stopIfTrue="1">
      <formula>$P$18="×"</formula>
    </cfRule>
  </conditionalFormatting>
  <conditionalFormatting sqref="G35">
    <cfRule type="expression" priority="3" dxfId="60" stopIfTrue="1">
      <formula>$H$18="×"</formula>
    </cfRule>
  </conditionalFormatting>
  <conditionalFormatting sqref="G33">
    <cfRule type="expression" priority="4" dxfId="60" stopIfTrue="1">
      <formula>'様式3-1別紙1　新旧対比表'!#REF!="×"</formula>
    </cfRule>
  </conditionalFormatting>
  <conditionalFormatting sqref="G34">
    <cfRule type="expression" priority="5" dxfId="60" stopIfTrue="1">
      <formula>'様式3-1別紙1　新旧対比表'!#REF!="×"</formula>
    </cfRule>
  </conditionalFormatting>
  <conditionalFormatting sqref="G33:G34">
    <cfRule type="expression" priority="6" dxfId="60" stopIfTrue="1">
      <formula>'様式3-1別紙1　新旧対比表'!#REF!="×"</formula>
    </cfRule>
  </conditionalFormatting>
  <conditionalFormatting sqref="G28:G29">
    <cfRule type="expression" priority="7" dxfId="60" stopIfTrue="1">
      <formula>$B$13="×"</formula>
    </cfRule>
  </conditionalFormatting>
  <conditionalFormatting sqref="V31">
    <cfRule type="expression" priority="1" dxfId="60" stopIfTrue="1">
      <formula>$U$30="×"</formula>
    </cfRule>
  </conditionalFormatting>
  <conditionalFormatting sqref="V31">
    <cfRule type="expression" priority="2" dxfId="60" stopIfTrue="1">
      <formula>$B$15="×"</formula>
    </cfRule>
  </conditionalFormatting>
  <dataValidations count="3">
    <dataValidation allowBlank="1" showInputMessage="1" showErrorMessage="1" imeMode="halfAlpha" sqref="Q51 I40 R40 T40"/>
    <dataValidation allowBlank="1" showInputMessage="1" showErrorMessage="1" imeMode="hiragana" sqref="P57 N57 D22:D23 M20:M21"/>
    <dataValidation type="whole" operator="greaterThanOrEqual" allowBlank="1" showInputMessage="1" showErrorMessage="1" errorTitle="0以上の数字を入力して下さい。" imeMode="halfAlpha" sqref="P28:P39 E28:E39 I28:I39 T28:T39 K28:K39 G28:G39 N28:N39 R28:R39 V28:V40">
      <formula1>0</formula1>
    </dataValidation>
  </dataValidations>
  <hyperlinks>
    <hyperlink ref="B3" location="'基本情報入力（使い方）'!A131" display="戻る"/>
  </hyperlinks>
  <printOptions/>
  <pageMargins left="0.3937007874015748" right="0" top="0.7874015748031497" bottom="0" header="0" footer="0"/>
  <pageSetup fitToHeight="0" fitToWidth="1" horizontalDpi="600" verticalDpi="600" orientation="portrait" paperSize="9" scale="41" r:id="rId4"/>
  <drawing r:id="rId3"/>
  <legacyDrawing r:id="rId2"/>
</worksheet>
</file>

<file path=xl/worksheets/sheet30.xml><?xml version="1.0" encoding="utf-8"?>
<worksheet xmlns="http://schemas.openxmlformats.org/spreadsheetml/2006/main" xmlns:r="http://schemas.openxmlformats.org/officeDocument/2006/relationships">
  <sheetPr codeName="Sheet4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IF('対象者一覧表'!E19="","",'対象者一覧表'!E19)</f>
        <v>製造部</v>
      </c>
      <c r="C6" s="1126"/>
      <c r="D6" s="750" t="str">
        <f>IF('対象者一覧表'!F19="","",'対象者一覧表'!F19)</f>
        <v>課長</v>
      </c>
      <c r="G6" s="707"/>
      <c r="H6" s="707"/>
      <c r="I6" s="707"/>
      <c r="K6" s="90"/>
      <c r="L6" s="15" t="s">
        <v>833</v>
      </c>
      <c r="N6" s="93"/>
      <c r="O6" s="93"/>
      <c r="P6" s="93"/>
      <c r="Q6"/>
      <c r="R6"/>
      <c r="S6"/>
      <c r="T6"/>
      <c r="U6"/>
      <c r="V6"/>
      <c r="W6" s="707"/>
      <c r="X6" s="707"/>
    </row>
    <row r="7" spans="1:24" ht="18" customHeight="1">
      <c r="A7" s="752" t="s">
        <v>67</v>
      </c>
      <c r="B7" s="1126" t="str">
        <f>IF('対象者一覧表'!D19="","",'対象者一覧表'!D19)</f>
        <v>西村　酉汰</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IF('対象者一覧表'!H19="","",'対象者一覧表'!H19)</f>
        <v>25748</v>
      </c>
      <c r="C8" s="1127"/>
      <c r="D8" s="754">
        <f>IF(B8="","",DATEDIF(B8,E13,"Y"))</f>
        <v>44</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1022</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1023</v>
      </c>
      <c r="I12"/>
      <c r="J12" s="217"/>
      <c r="L12" s="217" t="s">
        <v>1023</v>
      </c>
      <c r="R12" s="217" t="s">
        <v>1023</v>
      </c>
    </row>
    <row r="13" spans="1:27" ht="15" customHeight="1" thickBot="1">
      <c r="A13" s="1130" t="s">
        <v>700</v>
      </c>
      <c r="B13" s="1131"/>
      <c r="C13" s="1130" t="s">
        <v>69</v>
      </c>
      <c r="D13" s="1131"/>
      <c r="E13" s="703">
        <v>41943</v>
      </c>
      <c r="F13" s="704" t="s">
        <v>1024</v>
      </c>
      <c r="G13" s="704" t="s">
        <v>699</v>
      </c>
      <c r="H13" s="705" t="s">
        <v>70</v>
      </c>
      <c r="I13" s="703">
        <v>42035</v>
      </c>
      <c r="J13" s="704" t="s">
        <v>1025</v>
      </c>
      <c r="K13" s="704" t="s">
        <v>125</v>
      </c>
      <c r="L13" s="704" t="s">
        <v>70</v>
      </c>
      <c r="M13" s="704" t="s">
        <v>126</v>
      </c>
      <c r="N13" s="704" t="s">
        <v>99</v>
      </c>
      <c r="O13" s="704" t="s">
        <v>1026</v>
      </c>
      <c r="P13" s="704" t="s">
        <v>1027</v>
      </c>
      <c r="Q13" s="704" t="s">
        <v>1028</v>
      </c>
      <c r="R13" s="704" t="s">
        <v>70</v>
      </c>
      <c r="S13" s="704" t="s">
        <v>1029</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1024</v>
      </c>
      <c r="G31" s="704" t="s">
        <v>699</v>
      </c>
      <c r="H31" s="705" t="s">
        <v>70</v>
      </c>
      <c r="I31" s="703">
        <v>42035</v>
      </c>
      <c r="J31" s="704" t="s">
        <v>1025</v>
      </c>
      <c r="K31" s="704" t="s">
        <v>125</v>
      </c>
      <c r="L31" s="704" t="s">
        <v>70</v>
      </c>
      <c r="M31" s="704" t="s">
        <v>126</v>
      </c>
      <c r="N31" s="704" t="s">
        <v>99</v>
      </c>
      <c r="O31" s="704" t="s">
        <v>1026</v>
      </c>
      <c r="P31" s="704" t="s">
        <v>1027</v>
      </c>
      <c r="Q31" s="704" t="s">
        <v>1028</v>
      </c>
      <c r="R31" s="704" t="s">
        <v>70</v>
      </c>
      <c r="S31" s="704" t="s">
        <v>1029</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1030</v>
      </c>
      <c r="N34" s="685" t="s">
        <v>1030</v>
      </c>
      <c r="O34" s="685" t="s">
        <v>1030</v>
      </c>
      <c r="P34" s="684" t="s">
        <v>1030</v>
      </c>
      <c r="Q34" s="685" t="s">
        <v>1030</v>
      </c>
      <c r="R34" s="685" t="s">
        <v>1030</v>
      </c>
      <c r="S34" s="685" t="s">
        <v>1030</v>
      </c>
      <c r="T34" s="686">
        <f t="shared" si="5"/>
        <v>0</v>
      </c>
      <c r="Z34" s="205"/>
      <c r="AA34" s="205"/>
    </row>
    <row r="35" spans="1:27" s="203" customFormat="1" ht="17.25" customHeight="1" thickBot="1">
      <c r="A35" s="1159" t="s">
        <v>703</v>
      </c>
      <c r="B35" s="1160"/>
      <c r="C35" s="342" t="s">
        <v>82</v>
      </c>
      <c r="D35" s="732">
        <v>0</v>
      </c>
      <c r="E35" s="687" t="s">
        <v>1030</v>
      </c>
      <c r="F35" s="684" t="s">
        <v>1030</v>
      </c>
      <c r="G35" s="685" t="s">
        <v>1030</v>
      </c>
      <c r="H35" s="685" t="s">
        <v>1030</v>
      </c>
      <c r="I35" s="685" t="s">
        <v>1030</v>
      </c>
      <c r="J35" s="685" t="s">
        <v>1030</v>
      </c>
      <c r="K35" s="689" t="s">
        <v>1030</v>
      </c>
      <c r="L35" s="685" t="s">
        <v>1030</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1030</v>
      </c>
      <c r="T36" s="683">
        <f t="shared" si="5"/>
        <v>0</v>
      </c>
      <c r="Z36" s="205"/>
      <c r="AA36" s="205"/>
    </row>
    <row r="37" spans="1:27" s="203" customFormat="1" ht="17.25" customHeight="1" thickBot="1">
      <c r="A37" s="1161" t="s">
        <v>1020</v>
      </c>
      <c r="B37" s="1162"/>
      <c r="C37" s="343" t="s">
        <v>82</v>
      </c>
      <c r="D37" s="733">
        <v>0</v>
      </c>
      <c r="E37" s="687" t="s">
        <v>1030</v>
      </c>
      <c r="F37" s="684" t="s">
        <v>1030</v>
      </c>
      <c r="G37" s="685" t="s">
        <v>1030</v>
      </c>
      <c r="H37" s="685" t="s">
        <v>1030</v>
      </c>
      <c r="I37" s="685" t="s">
        <v>1030</v>
      </c>
      <c r="J37" s="685" t="s">
        <v>1030</v>
      </c>
      <c r="K37" s="689" t="s">
        <v>1030</v>
      </c>
      <c r="L37" s="685" t="s">
        <v>1030</v>
      </c>
      <c r="M37" s="684" t="s">
        <v>1030</v>
      </c>
      <c r="N37" s="685" t="s">
        <v>1030</v>
      </c>
      <c r="O37" s="685" t="s">
        <v>1030</v>
      </c>
      <c r="P37" s="684" t="s">
        <v>1030</v>
      </c>
      <c r="Q37" s="685" t="s">
        <v>1030</v>
      </c>
      <c r="R37" s="685" t="s">
        <v>1030</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1030</v>
      </c>
      <c r="I39" s="617">
        <f t="shared" si="7"/>
      </c>
      <c r="J39" s="617">
        <f t="shared" si="7"/>
      </c>
      <c r="K39" s="617">
        <f t="shared" si="7"/>
      </c>
      <c r="L39" s="687" t="s">
        <v>1030</v>
      </c>
      <c r="M39" s="617">
        <f t="shared" si="8"/>
      </c>
      <c r="N39" s="617">
        <f t="shared" si="8"/>
      </c>
      <c r="O39" s="617">
        <f t="shared" si="8"/>
      </c>
      <c r="P39" s="617">
        <f t="shared" si="8"/>
      </c>
      <c r="Q39" s="617">
        <f t="shared" si="8"/>
      </c>
      <c r="R39" s="687" t="s">
        <v>1030</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1030</v>
      </c>
      <c r="I40" s="617">
        <f t="shared" si="7"/>
      </c>
      <c r="J40" s="617">
        <f t="shared" si="7"/>
      </c>
      <c r="K40" s="617">
        <f t="shared" si="7"/>
      </c>
      <c r="L40" s="687" t="s">
        <v>1030</v>
      </c>
      <c r="M40" s="617">
        <f t="shared" si="8"/>
      </c>
      <c r="N40" s="617">
        <f t="shared" si="8"/>
      </c>
      <c r="O40" s="617">
        <f t="shared" si="8"/>
      </c>
      <c r="P40" s="617">
        <f t="shared" si="8"/>
      </c>
      <c r="Q40" s="617">
        <f t="shared" si="8"/>
      </c>
      <c r="R40" s="687" t="s">
        <v>1030</v>
      </c>
      <c r="S40" s="617">
        <f>IF(S$28=0,"",ROUND(S$28*$D40/1000,0))</f>
      </c>
      <c r="T40" s="683">
        <f t="shared" si="5"/>
        <v>0</v>
      </c>
      <c r="Z40" s="205"/>
      <c r="AA40" s="205"/>
    </row>
    <row r="41" spans="1:27" s="203" customFormat="1" ht="17.25" customHeight="1" thickBot="1">
      <c r="A41" s="1161" t="s">
        <v>638</v>
      </c>
      <c r="B41" s="1162"/>
      <c r="C41" s="206" t="s">
        <v>82</v>
      </c>
      <c r="D41" s="732">
        <v>0</v>
      </c>
      <c r="E41" s="687" t="s">
        <v>1030</v>
      </c>
      <c r="F41" s="692" t="s">
        <v>1030</v>
      </c>
      <c r="G41" s="687" t="s">
        <v>1030</v>
      </c>
      <c r="H41" s="691">
        <f>IF(H$26=0,"",ROUND((IF(ROUNDDOWN(H$26,-3)&gt;1500000,1500000,ROUNDDOWN(H$26,-3))*$D41/1000),0))</f>
      </c>
      <c r="I41" s="687" t="s">
        <v>1030</v>
      </c>
      <c r="J41" s="687" t="s">
        <v>1030</v>
      </c>
      <c r="K41" s="688" t="s">
        <v>1030</v>
      </c>
      <c r="L41" s="617">
        <f>IF(L$26=0,"",ROUND((IF(ROUNDDOWN(L$26,-3)&gt;1500000,1500000,ROUNDDOWN(L$26,-3))*$D41/1000),0))</f>
      </c>
      <c r="M41" s="693" t="s">
        <v>1030</v>
      </c>
      <c r="N41" s="694" t="s">
        <v>1030</v>
      </c>
      <c r="O41" s="694" t="s">
        <v>1030</v>
      </c>
      <c r="P41" s="693" t="s">
        <v>1030</v>
      </c>
      <c r="Q41" s="694" t="s">
        <v>1030</v>
      </c>
      <c r="R41" s="617">
        <f>IF(R$26=0,"",ROUND((IF(ROUNDDOWN(R$26,-3)&gt;1500000,1500000,ROUNDDOWN(R$26,-3))*$D41/1000),0))</f>
      </c>
      <c r="S41" s="694" t="s">
        <v>1030</v>
      </c>
      <c r="T41" s="683">
        <f t="shared" si="5"/>
        <v>0</v>
      </c>
      <c r="Z41" s="205"/>
      <c r="AA41" s="205"/>
    </row>
    <row r="42" spans="1:27" s="203" customFormat="1" ht="17.25" customHeight="1" thickBot="1">
      <c r="A42" s="1161" t="s">
        <v>638</v>
      </c>
      <c r="B42" s="1162"/>
      <c r="C42" s="206" t="s">
        <v>82</v>
      </c>
      <c r="D42" s="732">
        <v>0</v>
      </c>
      <c r="E42" s="687" t="s">
        <v>1030</v>
      </c>
      <c r="F42" s="692" t="s">
        <v>1030</v>
      </c>
      <c r="G42" s="687" t="s">
        <v>1030</v>
      </c>
      <c r="H42" s="691">
        <f>IF(H$26=0,"",ROUND((IF(ROUNDDOWN(H$26,-3)&gt;1500000,1500000,ROUNDDOWN(H$26,-3))*$D42/1000),0))</f>
      </c>
      <c r="I42" s="687" t="s">
        <v>1030</v>
      </c>
      <c r="J42" s="687" t="s">
        <v>1030</v>
      </c>
      <c r="K42" s="688" t="s">
        <v>1030</v>
      </c>
      <c r="L42" s="617">
        <f>IF(L$26=0,"",ROUND((IF(ROUNDDOWN(L$26,-3)&gt;1500000,1500000,ROUNDDOWN(L$26,-3))*$D42/1000),0))</f>
      </c>
      <c r="M42" s="693" t="s">
        <v>1030</v>
      </c>
      <c r="N42" s="694" t="s">
        <v>1030</v>
      </c>
      <c r="O42" s="694" t="s">
        <v>1030</v>
      </c>
      <c r="P42" s="693" t="s">
        <v>1030</v>
      </c>
      <c r="Q42" s="694" t="s">
        <v>1030</v>
      </c>
      <c r="R42" s="617">
        <f>IF(R$26=0,"",ROUND((IF(ROUNDDOWN(R$26,-3)&gt;1500000,1500000,ROUNDDOWN(R$26,-3))*$D42/1000),0))</f>
      </c>
      <c r="S42" s="694" t="s">
        <v>1030</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"&amp;'基本情報入力（使い方）'!C19</f>
        <v>名称(社名)　：　</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OR('賃金台帳(10)'!#REF!&gt;=1501000,$G$26&gt;=1501000,$L$26&gt;=1501000,$P$26&gt;=1501000,'賃金台帳(10)'!#REF!&gt;=1501000)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1.xml><?xml version="1.0" encoding="utf-8"?>
<worksheet xmlns="http://schemas.openxmlformats.org/spreadsheetml/2006/main" xmlns:r="http://schemas.openxmlformats.org/officeDocument/2006/relationships">
  <sheetPr codeName="Sheet46">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IF('対象者一覧表'!E20="","",'対象者一覧表'!E20)</f>
        <v>製造部</v>
      </c>
      <c r="C6" s="1126"/>
      <c r="D6" s="750">
        <f>IF('対象者一覧表'!F20="","",'対象者一覧表'!F20)</f>
      </c>
      <c r="G6" s="707"/>
      <c r="H6" s="707"/>
      <c r="I6" s="707"/>
      <c r="K6" s="90"/>
      <c r="L6" s="15" t="s">
        <v>833</v>
      </c>
      <c r="N6" s="93"/>
      <c r="O6" s="93"/>
      <c r="P6" s="93"/>
      <c r="Q6"/>
      <c r="R6"/>
      <c r="S6"/>
      <c r="T6"/>
      <c r="U6"/>
      <c r="V6"/>
      <c r="W6" s="707"/>
      <c r="X6" s="707"/>
    </row>
    <row r="7" spans="1:24" ht="18" customHeight="1">
      <c r="A7" s="752" t="s">
        <v>67</v>
      </c>
      <c r="B7" s="1126" t="str">
        <f>IF('対象者一覧表'!D20="","",'対象者一覧表'!D20)</f>
        <v>斎藤　戌</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IF('対象者一覧表'!H20="","",'対象者一覧表'!H20)</f>
        <v>25749</v>
      </c>
      <c r="C8" s="1127"/>
      <c r="D8" s="754">
        <f>IF(B8="","",DATEDIF(B8,E13,"Y"))</f>
        <v>44</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667</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696</v>
      </c>
      <c r="I12"/>
      <c r="J12" s="217"/>
      <c r="L12" s="217" t="s">
        <v>696</v>
      </c>
      <c r="R12" s="217" t="s">
        <v>696</v>
      </c>
    </row>
    <row r="13" spans="1:27" ht="15" customHeight="1" thickBot="1">
      <c r="A13" s="1130" t="s">
        <v>700</v>
      </c>
      <c r="B13" s="1131"/>
      <c r="C13" s="1130" t="s">
        <v>69</v>
      </c>
      <c r="D13" s="1131"/>
      <c r="E13" s="703">
        <v>41943</v>
      </c>
      <c r="F13" s="704" t="s">
        <v>836</v>
      </c>
      <c r="G13" s="704" t="s">
        <v>699</v>
      </c>
      <c r="H13" s="705" t="s">
        <v>70</v>
      </c>
      <c r="I13" s="703">
        <v>42035</v>
      </c>
      <c r="J13" s="704" t="s">
        <v>831</v>
      </c>
      <c r="K13" s="704" t="s">
        <v>125</v>
      </c>
      <c r="L13" s="704" t="s">
        <v>70</v>
      </c>
      <c r="M13" s="704" t="s">
        <v>126</v>
      </c>
      <c r="N13" s="704" t="s">
        <v>99</v>
      </c>
      <c r="O13" s="704" t="s">
        <v>832</v>
      </c>
      <c r="P13" s="704" t="s">
        <v>1010</v>
      </c>
      <c r="Q13" s="704" t="s">
        <v>830</v>
      </c>
      <c r="R13" s="704" t="s">
        <v>70</v>
      </c>
      <c r="S13" s="704" t="s">
        <v>1013</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836</v>
      </c>
      <c r="G31" s="704" t="s">
        <v>699</v>
      </c>
      <c r="H31" s="705" t="s">
        <v>70</v>
      </c>
      <c r="I31" s="703">
        <v>42035</v>
      </c>
      <c r="J31" s="704" t="s">
        <v>831</v>
      </c>
      <c r="K31" s="704" t="s">
        <v>125</v>
      </c>
      <c r="L31" s="704" t="s">
        <v>70</v>
      </c>
      <c r="M31" s="704" t="s">
        <v>126</v>
      </c>
      <c r="N31" s="704" t="s">
        <v>99</v>
      </c>
      <c r="O31" s="704" t="s">
        <v>832</v>
      </c>
      <c r="P31" s="704" t="s">
        <v>1010</v>
      </c>
      <c r="Q31" s="704" t="s">
        <v>830</v>
      </c>
      <c r="R31" s="704" t="s">
        <v>70</v>
      </c>
      <c r="S31" s="704" t="s">
        <v>1013</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787</v>
      </c>
      <c r="N34" s="685" t="s">
        <v>787</v>
      </c>
      <c r="O34" s="685" t="s">
        <v>787</v>
      </c>
      <c r="P34" s="684" t="s">
        <v>787</v>
      </c>
      <c r="Q34" s="685" t="s">
        <v>787</v>
      </c>
      <c r="R34" s="685" t="s">
        <v>787</v>
      </c>
      <c r="S34" s="685" t="s">
        <v>787</v>
      </c>
      <c r="T34" s="686">
        <f t="shared" si="5"/>
        <v>0</v>
      </c>
      <c r="Z34" s="205"/>
      <c r="AA34" s="205"/>
    </row>
    <row r="35" spans="1:27" s="203" customFormat="1" ht="17.25" customHeight="1" thickBot="1">
      <c r="A35" s="1159" t="s">
        <v>703</v>
      </c>
      <c r="B35" s="1160"/>
      <c r="C35" s="342" t="s">
        <v>82</v>
      </c>
      <c r="D35" s="732">
        <v>0</v>
      </c>
      <c r="E35" s="687" t="s">
        <v>787</v>
      </c>
      <c r="F35" s="684" t="s">
        <v>787</v>
      </c>
      <c r="G35" s="685" t="s">
        <v>787</v>
      </c>
      <c r="H35" s="685" t="s">
        <v>787</v>
      </c>
      <c r="I35" s="685" t="s">
        <v>787</v>
      </c>
      <c r="J35" s="685" t="s">
        <v>787</v>
      </c>
      <c r="K35" s="689" t="s">
        <v>787</v>
      </c>
      <c r="L35" s="685" t="s">
        <v>787</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787</v>
      </c>
      <c r="T36" s="683">
        <f t="shared" si="5"/>
        <v>0</v>
      </c>
      <c r="Z36" s="205"/>
      <c r="AA36" s="205"/>
    </row>
    <row r="37" spans="1:27" s="203" customFormat="1" ht="17.25" customHeight="1" thickBot="1">
      <c r="A37" s="1161" t="s">
        <v>1020</v>
      </c>
      <c r="B37" s="1162"/>
      <c r="C37" s="343" t="s">
        <v>82</v>
      </c>
      <c r="D37" s="733">
        <v>0</v>
      </c>
      <c r="E37" s="687" t="s">
        <v>787</v>
      </c>
      <c r="F37" s="684" t="s">
        <v>787</v>
      </c>
      <c r="G37" s="685" t="s">
        <v>787</v>
      </c>
      <c r="H37" s="685" t="s">
        <v>787</v>
      </c>
      <c r="I37" s="685" t="s">
        <v>787</v>
      </c>
      <c r="J37" s="685" t="s">
        <v>787</v>
      </c>
      <c r="K37" s="689" t="s">
        <v>787</v>
      </c>
      <c r="L37" s="685" t="s">
        <v>787</v>
      </c>
      <c r="M37" s="684" t="s">
        <v>787</v>
      </c>
      <c r="N37" s="685" t="s">
        <v>787</v>
      </c>
      <c r="O37" s="685" t="s">
        <v>787</v>
      </c>
      <c r="P37" s="684" t="s">
        <v>787</v>
      </c>
      <c r="Q37" s="685" t="s">
        <v>787</v>
      </c>
      <c r="R37" s="685" t="s">
        <v>787</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787</v>
      </c>
      <c r="I39" s="617">
        <f t="shared" si="7"/>
      </c>
      <c r="J39" s="617">
        <f t="shared" si="7"/>
      </c>
      <c r="K39" s="617">
        <f t="shared" si="7"/>
      </c>
      <c r="L39" s="687" t="s">
        <v>787</v>
      </c>
      <c r="M39" s="617">
        <f t="shared" si="8"/>
      </c>
      <c r="N39" s="617">
        <f t="shared" si="8"/>
      </c>
      <c r="O39" s="617">
        <f t="shared" si="8"/>
      </c>
      <c r="P39" s="617">
        <f t="shared" si="8"/>
      </c>
      <c r="Q39" s="617">
        <f t="shared" si="8"/>
      </c>
      <c r="R39" s="687" t="s">
        <v>787</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787</v>
      </c>
      <c r="I40" s="617">
        <f t="shared" si="7"/>
      </c>
      <c r="J40" s="617">
        <f t="shared" si="7"/>
      </c>
      <c r="K40" s="617">
        <f t="shared" si="7"/>
      </c>
      <c r="L40" s="687" t="s">
        <v>787</v>
      </c>
      <c r="M40" s="617">
        <f t="shared" si="8"/>
      </c>
      <c r="N40" s="617">
        <f t="shared" si="8"/>
      </c>
      <c r="O40" s="617">
        <f t="shared" si="8"/>
      </c>
      <c r="P40" s="617">
        <f t="shared" si="8"/>
      </c>
      <c r="Q40" s="617">
        <f t="shared" si="8"/>
      </c>
      <c r="R40" s="687" t="s">
        <v>787</v>
      </c>
      <c r="S40" s="617">
        <f>IF(S$28=0,"",ROUND(S$28*$D40/1000,0))</f>
      </c>
      <c r="T40" s="683">
        <f t="shared" si="5"/>
        <v>0</v>
      </c>
      <c r="Z40" s="205"/>
      <c r="AA40" s="205"/>
    </row>
    <row r="41" spans="1:27" s="203" customFormat="1" ht="17.25" customHeight="1" thickBot="1">
      <c r="A41" s="1161" t="s">
        <v>638</v>
      </c>
      <c r="B41" s="1162"/>
      <c r="C41" s="206" t="s">
        <v>82</v>
      </c>
      <c r="D41" s="732">
        <v>0</v>
      </c>
      <c r="E41" s="687" t="s">
        <v>787</v>
      </c>
      <c r="F41" s="692" t="s">
        <v>787</v>
      </c>
      <c r="G41" s="687" t="s">
        <v>787</v>
      </c>
      <c r="H41" s="691">
        <f>IF(H$26=0,"",ROUND((IF(ROUNDDOWN(H$26,-3)&gt;1500000,1500000,ROUNDDOWN(H$26,-3))*$D41/1000),0))</f>
      </c>
      <c r="I41" s="687" t="s">
        <v>787</v>
      </c>
      <c r="J41" s="687" t="s">
        <v>787</v>
      </c>
      <c r="K41" s="688" t="s">
        <v>787</v>
      </c>
      <c r="L41" s="617">
        <f>IF(L$26=0,"",ROUND((IF(ROUNDDOWN(L$26,-3)&gt;1500000,1500000,ROUNDDOWN(L$26,-3))*$D41/1000),0))</f>
      </c>
      <c r="M41" s="693" t="s">
        <v>787</v>
      </c>
      <c r="N41" s="694" t="s">
        <v>787</v>
      </c>
      <c r="O41" s="694" t="s">
        <v>787</v>
      </c>
      <c r="P41" s="693" t="s">
        <v>787</v>
      </c>
      <c r="Q41" s="694" t="s">
        <v>787</v>
      </c>
      <c r="R41" s="617">
        <f>IF(R$26=0,"",ROUND((IF(ROUNDDOWN(R$26,-3)&gt;1500000,1500000,ROUNDDOWN(R$26,-3))*$D41/1000),0))</f>
      </c>
      <c r="S41" s="694" t="s">
        <v>787</v>
      </c>
      <c r="T41" s="683">
        <f t="shared" si="5"/>
        <v>0</v>
      </c>
      <c r="Z41" s="205"/>
      <c r="AA41" s="205"/>
    </row>
    <row r="42" spans="1:27" s="203" customFormat="1" ht="17.25" customHeight="1" thickBot="1">
      <c r="A42" s="1161" t="s">
        <v>638</v>
      </c>
      <c r="B42" s="1162"/>
      <c r="C42" s="206" t="s">
        <v>82</v>
      </c>
      <c r="D42" s="732">
        <v>0</v>
      </c>
      <c r="E42" s="687" t="s">
        <v>787</v>
      </c>
      <c r="F42" s="692" t="s">
        <v>787</v>
      </c>
      <c r="G42" s="687" t="s">
        <v>787</v>
      </c>
      <c r="H42" s="691">
        <f>IF(H$26=0,"",ROUND((IF(ROUNDDOWN(H$26,-3)&gt;1500000,1500000,ROUNDDOWN(H$26,-3))*$D42/1000),0))</f>
      </c>
      <c r="I42" s="687" t="s">
        <v>787</v>
      </c>
      <c r="J42" s="687" t="s">
        <v>787</v>
      </c>
      <c r="K42" s="688" t="s">
        <v>787</v>
      </c>
      <c r="L42" s="617">
        <f>IF(L$26=0,"",ROUND((IF(ROUNDDOWN(L$26,-3)&gt;1500000,1500000,ROUNDDOWN(L$26,-3))*$D42/1000),0))</f>
      </c>
      <c r="M42" s="693" t="s">
        <v>787</v>
      </c>
      <c r="N42" s="694" t="s">
        <v>787</v>
      </c>
      <c r="O42" s="694" t="s">
        <v>787</v>
      </c>
      <c r="P42" s="693" t="s">
        <v>787</v>
      </c>
      <c r="Q42" s="694" t="s">
        <v>787</v>
      </c>
      <c r="R42" s="617">
        <f>IF(R$26=0,"",ROUND((IF(ROUNDDOWN(R$26,-3)&gt;1500000,1500000,ROUNDDOWN(R$26,-3))*$D42/1000),0))</f>
      </c>
      <c r="S42" s="694" t="s">
        <v>787</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OR('賃金台帳(11)'!#REF!&gt;=1501000,$G$26&gt;=1501000,$L$26&gt;=1501000,$P$26&gt;=1501000,'賃金台帳(11)'!#REF!&gt;=1501000)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2.xml><?xml version="1.0" encoding="utf-8"?>
<worksheet xmlns="http://schemas.openxmlformats.org/spreadsheetml/2006/main" xmlns:r="http://schemas.openxmlformats.org/officeDocument/2006/relationships">
  <sheetPr codeName="Sheet47">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67" t="s">
        <v>850</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7"/>
      <c r="H4" s="707"/>
      <c r="I4" s="708" t="s">
        <v>704</v>
      </c>
      <c r="K4" s="707"/>
      <c r="L4" s="707"/>
      <c r="M4" s="707"/>
      <c r="N4" s="707"/>
      <c r="O4" s="707"/>
      <c r="P4"/>
      <c r="Q4"/>
      <c r="R4"/>
      <c r="S4"/>
      <c r="T4"/>
      <c r="U4" s="1124"/>
      <c r="V4" s="1124"/>
      <c r="W4" s="1124"/>
      <c r="Y4"/>
      <c r="Z4"/>
      <c r="AA4"/>
      <c r="AB4" s="1124"/>
      <c r="AC4" s="1124"/>
      <c r="AD4" s="1124"/>
      <c r="AE4"/>
      <c r="AF4"/>
      <c r="AG4"/>
      <c r="AH4" s="707"/>
    </row>
    <row r="5" spans="1:24" ht="39" customHeight="1" thickBot="1">
      <c r="A5" s="751" t="s">
        <v>65</v>
      </c>
      <c r="B5" s="1125" t="str">
        <f>'対象者一覧表'!$G$7</f>
        <v>Ｂ金属株式会社</v>
      </c>
      <c r="C5" s="1125"/>
      <c r="D5" s="1125"/>
      <c r="G5" s="707"/>
      <c r="H5" s="707"/>
      <c r="I5" s="709"/>
      <c r="J5" s="707"/>
      <c r="K5" s="707"/>
      <c r="M5" s="707"/>
      <c r="N5" s="707"/>
      <c r="O5" s="707"/>
      <c r="P5"/>
      <c r="Q5" s="710"/>
      <c r="R5"/>
      <c r="S5"/>
      <c r="T5"/>
      <c r="U5"/>
      <c r="V5"/>
      <c r="W5" s="707"/>
      <c r="X5" s="707"/>
    </row>
    <row r="6" spans="1:24" ht="18" customHeight="1" thickBot="1">
      <c r="A6" s="752" t="s">
        <v>66</v>
      </c>
      <c r="B6" s="1126" t="str">
        <f>IF('対象者一覧表'!E21="","",'対象者一覧表'!E21)</f>
        <v>製造部</v>
      </c>
      <c r="C6" s="1126"/>
      <c r="D6" s="750" t="str">
        <f>IF('対象者一覧表'!F21="","",'対象者一覧表'!F21)</f>
        <v>部長</v>
      </c>
      <c r="G6" s="707"/>
      <c r="H6" s="707"/>
      <c r="I6" s="707"/>
      <c r="K6" s="90"/>
      <c r="L6" s="15" t="s">
        <v>833</v>
      </c>
      <c r="N6" s="93"/>
      <c r="O6" s="93"/>
      <c r="P6" s="93"/>
      <c r="Q6"/>
      <c r="R6"/>
      <c r="S6"/>
      <c r="T6"/>
      <c r="U6"/>
      <c r="V6"/>
      <c r="W6" s="707"/>
      <c r="X6" s="707"/>
    </row>
    <row r="7" spans="1:24" ht="18" customHeight="1">
      <c r="A7" s="752" t="s">
        <v>67</v>
      </c>
      <c r="B7" s="1126" t="str">
        <f>IF('対象者一覧表'!D21="","",'対象者一覧表'!D21)</f>
        <v>酒井　亥</v>
      </c>
      <c r="C7" s="1126"/>
      <c r="D7" s="1126"/>
      <c r="G7" s="707"/>
      <c r="H7" s="707"/>
      <c r="I7" s="7"/>
      <c r="J7" s="707"/>
      <c r="K7" s="707"/>
      <c r="L7" s="711"/>
      <c r="M7" s="711"/>
      <c r="N7" s="711"/>
      <c r="O7"/>
      <c r="P7"/>
      <c r="Q7"/>
      <c r="R7"/>
      <c r="S7"/>
      <c r="T7"/>
      <c r="U7"/>
      <c r="V7" s="712"/>
      <c r="W7" s="712"/>
      <c r="X7" s="712"/>
    </row>
    <row r="8" spans="1:24" ht="18" customHeight="1">
      <c r="A8" s="753" t="s">
        <v>68</v>
      </c>
      <c r="B8" s="1127">
        <f>IF('対象者一覧表'!H21="","",'対象者一覧表'!H21)</f>
        <v>23924</v>
      </c>
      <c r="C8" s="1127"/>
      <c r="D8" s="754">
        <f>IF(B8="","",DATEDIF(B8,E13,"Y"))</f>
        <v>49</v>
      </c>
      <c r="E8" s="14"/>
      <c r="F8" s="14"/>
      <c r="O8"/>
      <c r="P8"/>
      <c r="Q8"/>
      <c r="R8"/>
      <c r="S8"/>
      <c r="T8"/>
      <c r="U8"/>
      <c r="V8" s="93"/>
      <c r="W8" s="93"/>
      <c r="X8" s="93"/>
    </row>
    <row r="9" spans="1:20" ht="15" customHeight="1">
      <c r="A9" s="713"/>
      <c r="B9" s="713"/>
      <c r="C9" s="706"/>
      <c r="D9" s="714" t="s">
        <v>145</v>
      </c>
      <c r="E9" s="7"/>
      <c r="F9" s="7"/>
      <c r="H9" s="7" t="s">
        <v>697</v>
      </c>
      <c r="I9" s="697"/>
      <c r="J9" s="7"/>
      <c r="K9" s="698"/>
      <c r="L9" s="7" t="s">
        <v>697</v>
      </c>
      <c r="N9" s="93"/>
      <c r="O9" s="715"/>
      <c r="P9" s="715"/>
      <c r="R9" s="7" t="s">
        <v>697</v>
      </c>
      <c r="T9" s="715"/>
    </row>
    <row r="10" spans="1:20" ht="15" customHeight="1">
      <c r="A10" s="713"/>
      <c r="B10" s="713"/>
      <c r="C10" s="706"/>
      <c r="D10" s="714"/>
      <c r="E10" s="699"/>
      <c r="F10" s="699"/>
      <c r="H10" s="699">
        <v>41913</v>
      </c>
      <c r="I10" s="697"/>
      <c r="J10" s="699"/>
      <c r="K10" s="698"/>
      <c r="L10" s="699">
        <v>42005</v>
      </c>
      <c r="N10" s="93"/>
      <c r="O10" s="93"/>
      <c r="P10" s="93"/>
      <c r="R10" s="699">
        <v>42095</v>
      </c>
      <c r="T10" s="93"/>
    </row>
    <row r="11" spans="1:20" ht="15" customHeight="1">
      <c r="A11" s="1128" t="s">
        <v>1004</v>
      </c>
      <c r="B11" s="1128"/>
      <c r="C11" s="706"/>
      <c r="D11" s="714"/>
      <c r="E11" s="700"/>
      <c r="F11" s="701"/>
      <c r="H11" s="701" t="s">
        <v>701</v>
      </c>
      <c r="I11" s="697"/>
      <c r="J11" s="702"/>
      <c r="K11" s="698"/>
      <c r="L11" s="702" t="s">
        <v>829</v>
      </c>
      <c r="N11" s="93"/>
      <c r="O11" s="93"/>
      <c r="P11" s="93"/>
      <c r="R11" s="702" t="s">
        <v>1005</v>
      </c>
      <c r="T11" s="93"/>
    </row>
    <row r="12" spans="1:18" ht="15" customHeight="1" thickBot="1">
      <c r="A12" s="1129"/>
      <c r="B12" s="1129"/>
      <c r="C12" s="198"/>
      <c r="D12" s="14"/>
      <c r="E12" s="217"/>
      <c r="F12" s="217"/>
      <c r="G12"/>
      <c r="H12" s="217" t="s">
        <v>1006</v>
      </c>
      <c r="I12"/>
      <c r="J12" s="217"/>
      <c r="L12" s="217" t="s">
        <v>1006</v>
      </c>
      <c r="R12" s="217" t="s">
        <v>1006</v>
      </c>
    </row>
    <row r="13" spans="1:27" ht="15" customHeight="1" thickBot="1">
      <c r="A13" s="1130" t="s">
        <v>700</v>
      </c>
      <c r="B13" s="1131"/>
      <c r="C13" s="1130" t="s">
        <v>69</v>
      </c>
      <c r="D13" s="1131"/>
      <c r="E13" s="703">
        <v>41943</v>
      </c>
      <c r="F13" s="704" t="s">
        <v>1007</v>
      </c>
      <c r="G13" s="704" t="s">
        <v>699</v>
      </c>
      <c r="H13" s="705" t="s">
        <v>70</v>
      </c>
      <c r="I13" s="703">
        <v>42035</v>
      </c>
      <c r="J13" s="704" t="s">
        <v>1008</v>
      </c>
      <c r="K13" s="704" t="s">
        <v>125</v>
      </c>
      <c r="L13" s="704" t="s">
        <v>70</v>
      </c>
      <c r="M13" s="704" t="s">
        <v>126</v>
      </c>
      <c r="N13" s="704" t="s">
        <v>99</v>
      </c>
      <c r="O13" s="704" t="s">
        <v>1009</v>
      </c>
      <c r="P13" s="704" t="s">
        <v>1011</v>
      </c>
      <c r="Q13" s="704" t="s">
        <v>1012</v>
      </c>
      <c r="R13" s="704" t="s">
        <v>70</v>
      </c>
      <c r="S13" s="704" t="s">
        <v>1014</v>
      </c>
      <c r="T13" s="716" t="s">
        <v>51</v>
      </c>
      <c r="Z13" s="152"/>
      <c r="AA13" s="152"/>
    </row>
    <row r="14" spans="1:27" ht="17.25" customHeight="1">
      <c r="A14" s="1132" t="s">
        <v>127</v>
      </c>
      <c r="B14" s="1133"/>
      <c r="C14" s="1134" t="s">
        <v>127</v>
      </c>
      <c r="D14" s="1135"/>
      <c r="E14" s="717"/>
      <c r="F14" s="717"/>
      <c r="G14" s="717"/>
      <c r="H14" s="717"/>
      <c r="I14" s="717"/>
      <c r="J14" s="717"/>
      <c r="K14" s="717"/>
      <c r="L14" s="717"/>
      <c r="M14" s="717"/>
      <c r="N14" s="717"/>
      <c r="O14" s="717"/>
      <c r="P14" s="717"/>
      <c r="Q14" s="717"/>
      <c r="R14" s="717"/>
      <c r="S14" s="717"/>
      <c r="T14" s="718">
        <f>SUM(E14:S14)</f>
        <v>0</v>
      </c>
      <c r="U14" s="55"/>
      <c r="V14" s="55"/>
      <c r="Z14" s="207"/>
      <c r="AA14" s="207"/>
    </row>
    <row r="15" spans="1:27" ht="17.25" customHeight="1">
      <c r="A15" s="1136" t="s">
        <v>71</v>
      </c>
      <c r="B15" s="1137"/>
      <c r="C15" s="1138"/>
      <c r="D15" s="1139"/>
      <c r="E15" s="213"/>
      <c r="F15" s="213"/>
      <c r="G15" s="213"/>
      <c r="H15" s="213"/>
      <c r="I15" s="213"/>
      <c r="J15" s="213"/>
      <c r="K15" s="213"/>
      <c r="L15" s="213"/>
      <c r="M15" s="719"/>
      <c r="N15" s="719"/>
      <c r="O15" s="719"/>
      <c r="P15" s="719"/>
      <c r="Q15" s="719"/>
      <c r="R15" s="213"/>
      <c r="S15" s="719"/>
      <c r="T15" s="720">
        <f aca="true" t="shared" si="0" ref="T15:T26">SUM(E15:S15)</f>
        <v>0</v>
      </c>
      <c r="U15" s="55"/>
      <c r="V15" s="55"/>
      <c r="Z15" s="207"/>
      <c r="AA15" s="207"/>
    </row>
    <row r="16" spans="1:27" ht="17.25" customHeight="1">
      <c r="A16" s="1136" t="s">
        <v>72</v>
      </c>
      <c r="B16" s="1137"/>
      <c r="C16" s="1138"/>
      <c r="D16" s="1139"/>
      <c r="E16" s="213"/>
      <c r="F16" s="213"/>
      <c r="G16" s="213"/>
      <c r="H16" s="213"/>
      <c r="I16" s="213"/>
      <c r="J16" s="213"/>
      <c r="K16" s="213"/>
      <c r="L16" s="213"/>
      <c r="M16" s="719"/>
      <c r="N16" s="719"/>
      <c r="O16" s="719"/>
      <c r="P16" s="719"/>
      <c r="Q16" s="719"/>
      <c r="R16" s="213"/>
      <c r="S16" s="719"/>
      <c r="T16" s="720">
        <f t="shared" si="0"/>
        <v>0</v>
      </c>
      <c r="U16" s="55"/>
      <c r="V16" s="55"/>
      <c r="Z16" s="207"/>
      <c r="AA16" s="207"/>
    </row>
    <row r="17" spans="1:27" ht="17.25" customHeight="1">
      <c r="A17" s="1136" t="s">
        <v>73</v>
      </c>
      <c r="B17" s="1137"/>
      <c r="C17" s="1138"/>
      <c r="D17" s="1139"/>
      <c r="E17" s="213"/>
      <c r="F17" s="213"/>
      <c r="G17" s="213"/>
      <c r="H17" s="213"/>
      <c r="I17" s="213"/>
      <c r="J17" s="213"/>
      <c r="K17" s="213"/>
      <c r="L17" s="213"/>
      <c r="M17" s="719"/>
      <c r="N17" s="719"/>
      <c r="O17" s="719"/>
      <c r="P17" s="719"/>
      <c r="Q17" s="719"/>
      <c r="R17" s="213"/>
      <c r="S17" s="719"/>
      <c r="T17" s="720">
        <f t="shared" si="0"/>
        <v>0</v>
      </c>
      <c r="U17" s="55"/>
      <c r="V17" s="55"/>
      <c r="Z17" s="207"/>
      <c r="AA17" s="207"/>
    </row>
    <row r="18" spans="1:27" ht="17.25" customHeight="1">
      <c r="A18" s="1136" t="s">
        <v>74</v>
      </c>
      <c r="B18" s="1137"/>
      <c r="C18" s="1138"/>
      <c r="D18" s="1139"/>
      <c r="E18" s="213"/>
      <c r="F18" s="213"/>
      <c r="G18" s="213"/>
      <c r="H18" s="213"/>
      <c r="I18" s="213"/>
      <c r="J18" s="213"/>
      <c r="K18" s="213"/>
      <c r="L18" s="213"/>
      <c r="M18" s="719"/>
      <c r="N18" s="719"/>
      <c r="O18" s="719"/>
      <c r="P18" s="719"/>
      <c r="Q18" s="719"/>
      <c r="R18" s="213"/>
      <c r="S18" s="719"/>
      <c r="T18" s="720">
        <f t="shared" si="0"/>
        <v>0</v>
      </c>
      <c r="U18" s="55"/>
      <c r="V18" s="55"/>
      <c r="Z18" s="207"/>
      <c r="AA18" s="207"/>
    </row>
    <row r="19" spans="1:27" ht="17.25" customHeight="1">
      <c r="A19" s="1136" t="s">
        <v>75</v>
      </c>
      <c r="B19" s="1137"/>
      <c r="C19" s="1138"/>
      <c r="D19" s="1139"/>
      <c r="E19" s="213"/>
      <c r="F19" s="213"/>
      <c r="G19" s="213"/>
      <c r="H19" s="213"/>
      <c r="I19" s="213"/>
      <c r="J19" s="213"/>
      <c r="K19" s="213"/>
      <c r="L19" s="213"/>
      <c r="M19" s="719"/>
      <c r="N19" s="719"/>
      <c r="O19" s="719"/>
      <c r="P19" s="719"/>
      <c r="Q19" s="719"/>
      <c r="R19" s="213"/>
      <c r="S19" s="719"/>
      <c r="T19" s="720">
        <f t="shared" si="0"/>
        <v>0</v>
      </c>
      <c r="U19" s="55"/>
      <c r="V19" s="55"/>
      <c r="Z19" s="207"/>
      <c r="AA19" s="207"/>
    </row>
    <row r="20" spans="1:27" ht="17.25" customHeight="1">
      <c r="A20" s="1136" t="s">
        <v>76</v>
      </c>
      <c r="B20" s="1137"/>
      <c r="C20" s="1138"/>
      <c r="D20" s="1139"/>
      <c r="E20" s="213"/>
      <c r="F20" s="213"/>
      <c r="G20" s="213"/>
      <c r="H20" s="213"/>
      <c r="I20" s="213"/>
      <c r="J20" s="213"/>
      <c r="K20" s="213"/>
      <c r="L20" s="213"/>
      <c r="M20" s="719"/>
      <c r="N20" s="719"/>
      <c r="O20" s="719"/>
      <c r="P20" s="719"/>
      <c r="Q20" s="719"/>
      <c r="R20" s="213"/>
      <c r="S20" s="719"/>
      <c r="T20" s="720">
        <f t="shared" si="0"/>
        <v>0</v>
      </c>
      <c r="U20" s="55"/>
      <c r="V20" s="55"/>
      <c r="Z20" s="207"/>
      <c r="AA20" s="207"/>
    </row>
    <row r="21" spans="1:27" ht="17.25" customHeight="1">
      <c r="A21" s="1136" t="s">
        <v>77</v>
      </c>
      <c r="B21" s="1137"/>
      <c r="C21" s="1138"/>
      <c r="D21" s="1139"/>
      <c r="E21" s="213"/>
      <c r="F21" s="213"/>
      <c r="G21" s="213"/>
      <c r="H21" s="213"/>
      <c r="I21" s="213"/>
      <c r="J21" s="213"/>
      <c r="K21" s="213"/>
      <c r="L21" s="213"/>
      <c r="M21" s="719"/>
      <c r="N21" s="719"/>
      <c r="O21" s="719"/>
      <c r="P21" s="719"/>
      <c r="Q21" s="719"/>
      <c r="R21" s="213"/>
      <c r="S21" s="719"/>
      <c r="T21" s="720">
        <f t="shared" si="0"/>
        <v>0</v>
      </c>
      <c r="U21" s="55"/>
      <c r="V21" s="55"/>
      <c r="Z21" s="207"/>
      <c r="AA21" s="207"/>
    </row>
    <row r="22" spans="1:27" ht="17.25" customHeight="1">
      <c r="A22" s="1136"/>
      <c r="B22" s="1137"/>
      <c r="C22" s="1138"/>
      <c r="D22" s="1139"/>
      <c r="E22" s="213"/>
      <c r="F22" s="213"/>
      <c r="G22" s="213"/>
      <c r="H22" s="213"/>
      <c r="I22" s="213"/>
      <c r="J22" s="213"/>
      <c r="K22" s="213"/>
      <c r="L22" s="213"/>
      <c r="M22" s="719"/>
      <c r="N22" s="719"/>
      <c r="O22" s="719"/>
      <c r="P22" s="719"/>
      <c r="Q22" s="719"/>
      <c r="R22" s="213"/>
      <c r="S22" s="719"/>
      <c r="T22" s="720">
        <f t="shared" si="0"/>
        <v>0</v>
      </c>
      <c r="U22" s="55"/>
      <c r="V22" s="55"/>
      <c r="Z22" s="207"/>
      <c r="AA22" s="207"/>
    </row>
    <row r="23" spans="1:27" ht="17.25" customHeight="1">
      <c r="A23" s="1136"/>
      <c r="B23" s="1137"/>
      <c r="C23" s="1138"/>
      <c r="D23" s="1139"/>
      <c r="E23" s="213"/>
      <c r="F23" s="213"/>
      <c r="G23" s="213"/>
      <c r="H23" s="213"/>
      <c r="I23" s="213"/>
      <c r="J23" s="213"/>
      <c r="K23" s="213"/>
      <c r="L23" s="213"/>
      <c r="M23" s="719"/>
      <c r="N23" s="719"/>
      <c r="O23" s="719"/>
      <c r="P23" s="719"/>
      <c r="Q23" s="719"/>
      <c r="R23" s="213"/>
      <c r="S23" s="719"/>
      <c r="T23" s="720">
        <f t="shared" si="0"/>
        <v>0</v>
      </c>
      <c r="U23" s="55"/>
      <c r="V23" s="55"/>
      <c r="Z23" s="207"/>
      <c r="AA23" s="207"/>
    </row>
    <row r="24" spans="1:27" ht="17.25" customHeight="1">
      <c r="A24" s="1136"/>
      <c r="B24" s="1137"/>
      <c r="C24" s="1138"/>
      <c r="D24" s="1139"/>
      <c r="E24" s="213"/>
      <c r="F24" s="213"/>
      <c r="G24" s="213"/>
      <c r="H24" s="213"/>
      <c r="I24" s="213"/>
      <c r="J24" s="213"/>
      <c r="K24" s="213"/>
      <c r="L24" s="213"/>
      <c r="M24" s="719"/>
      <c r="N24" s="719"/>
      <c r="O24" s="719"/>
      <c r="P24" s="719"/>
      <c r="Q24" s="719"/>
      <c r="R24" s="213"/>
      <c r="S24" s="719"/>
      <c r="T24" s="720">
        <f t="shared" si="0"/>
        <v>0</v>
      </c>
      <c r="U24" s="55"/>
      <c r="V24" s="55"/>
      <c r="Z24" s="207"/>
      <c r="AA24" s="207"/>
    </row>
    <row r="25" spans="1:27" ht="17.25" customHeight="1" thickBot="1">
      <c r="A25" s="1140"/>
      <c r="B25" s="1141"/>
      <c r="C25" s="1142"/>
      <c r="D25" s="1143"/>
      <c r="E25" s="211"/>
      <c r="F25" s="211"/>
      <c r="G25" s="211"/>
      <c r="H25" s="211"/>
      <c r="I25" s="211"/>
      <c r="J25" s="211"/>
      <c r="K25" s="211"/>
      <c r="L25" s="211"/>
      <c r="M25" s="721"/>
      <c r="N25" s="721"/>
      <c r="O25" s="721"/>
      <c r="P25" s="721"/>
      <c r="Q25" s="721"/>
      <c r="R25" s="211"/>
      <c r="S25" s="721"/>
      <c r="T25" s="722">
        <f t="shared" si="0"/>
        <v>0</v>
      </c>
      <c r="U25" s="55"/>
      <c r="V25" s="55"/>
      <c r="Z25" s="207"/>
      <c r="AA25" s="207"/>
    </row>
    <row r="26" spans="1:28" ht="17.25" customHeight="1">
      <c r="A26" s="1144" t="s">
        <v>1015</v>
      </c>
      <c r="B26" s="1145"/>
      <c r="C26" s="1145"/>
      <c r="D26" s="1146"/>
      <c r="E26" s="723">
        <f aca="true" t="shared" si="1" ref="E26:S26">SUM(E14:E25)</f>
        <v>0</v>
      </c>
      <c r="F26" s="723">
        <f t="shared" si="1"/>
        <v>0</v>
      </c>
      <c r="G26" s="723">
        <f t="shared" si="1"/>
        <v>0</v>
      </c>
      <c r="H26" s="724">
        <f t="shared" si="1"/>
        <v>0</v>
      </c>
      <c r="I26" s="723">
        <f t="shared" si="1"/>
        <v>0</v>
      </c>
      <c r="J26" s="723">
        <f t="shared" si="1"/>
        <v>0</v>
      </c>
      <c r="K26" s="723">
        <f t="shared" si="1"/>
        <v>0</v>
      </c>
      <c r="L26" s="724">
        <f t="shared" si="1"/>
        <v>0</v>
      </c>
      <c r="M26" s="723">
        <f t="shared" si="1"/>
        <v>0</v>
      </c>
      <c r="N26" s="723">
        <f t="shared" si="1"/>
        <v>0</v>
      </c>
      <c r="O26" s="723">
        <f t="shared" si="1"/>
        <v>0</v>
      </c>
      <c r="P26" s="723">
        <f t="shared" si="1"/>
        <v>0</v>
      </c>
      <c r="Q26" s="723">
        <f t="shared" si="1"/>
        <v>0</v>
      </c>
      <c r="R26" s="724">
        <f t="shared" si="1"/>
        <v>0</v>
      </c>
      <c r="S26" s="723">
        <f t="shared" si="1"/>
        <v>0</v>
      </c>
      <c r="T26" s="725">
        <f t="shared" si="0"/>
        <v>0</v>
      </c>
      <c r="U26" s="55"/>
      <c r="V26" s="55"/>
      <c r="Z26" s="216"/>
      <c r="AA26" s="216"/>
      <c r="AB26" s="7"/>
    </row>
    <row r="27" spans="1:27" ht="17.25" customHeight="1">
      <c r="A27" s="1147" t="s">
        <v>1016</v>
      </c>
      <c r="B27" s="1148"/>
      <c r="C27" s="1148"/>
      <c r="D27" s="1149"/>
      <c r="E27" s="215"/>
      <c r="F27" s="215"/>
      <c r="G27" s="215"/>
      <c r="H27" s="214"/>
      <c r="I27" s="215"/>
      <c r="J27" s="215"/>
      <c r="K27" s="215"/>
      <c r="L27" s="214"/>
      <c r="M27" s="215"/>
      <c r="N27" s="215"/>
      <c r="O27" s="215"/>
      <c r="P27" s="215"/>
      <c r="Q27" s="215"/>
      <c r="R27" s="214"/>
      <c r="S27" s="215"/>
      <c r="T27" s="726"/>
      <c r="U27" s="55"/>
      <c r="V27" s="55"/>
      <c r="Z27" s="210"/>
      <c r="AA27" s="210"/>
    </row>
    <row r="28" spans="1:27" ht="17.25" customHeight="1" thickBot="1">
      <c r="A28" s="1154" t="s">
        <v>1017</v>
      </c>
      <c r="B28" s="1155"/>
      <c r="C28" s="1155"/>
      <c r="D28" s="1156"/>
      <c r="E28" s="212"/>
      <c r="F28" s="212"/>
      <c r="G28" s="212"/>
      <c r="H28" s="727"/>
      <c r="I28" s="212"/>
      <c r="J28" s="212"/>
      <c r="K28" s="212"/>
      <c r="L28" s="727"/>
      <c r="M28" s="212"/>
      <c r="N28" s="212"/>
      <c r="O28" s="212"/>
      <c r="P28" s="212"/>
      <c r="Q28" s="212"/>
      <c r="R28" s="727"/>
      <c r="S28" s="212"/>
      <c r="T28" s="728"/>
      <c r="U28" s="55"/>
      <c r="V28" s="55"/>
      <c r="Z28" s="210"/>
      <c r="AA28" s="210"/>
    </row>
    <row r="29" spans="1:38" ht="20.25" customHeight="1">
      <c r="A29" s="1150" t="s">
        <v>78</v>
      </c>
      <c r="B29" s="1150"/>
      <c r="C29" s="1150"/>
      <c r="D29" s="209" t="s">
        <v>728</v>
      </c>
      <c r="E29" s="55"/>
      <c r="F29" s="729"/>
      <c r="G29" s="55"/>
      <c r="H29" s="729"/>
      <c r="I29" s="729"/>
      <c r="J29" s="246"/>
      <c r="K29" s="730"/>
      <c r="L29" s="729"/>
      <c r="M29" s="55"/>
      <c r="N29" s="246"/>
      <c r="O29" s="246"/>
      <c r="P29" s="729"/>
      <c r="Q29" s="246"/>
      <c r="R29" s="246"/>
      <c r="S29" s="246"/>
      <c r="T29" s="246"/>
      <c r="U29" s="55"/>
      <c r="V29" s="55"/>
      <c r="Z29" s="18"/>
      <c r="AA29" s="18"/>
      <c r="AB29" s="18"/>
      <c r="AC29" s="18"/>
      <c r="AD29" s="18"/>
      <c r="AE29" s="18"/>
      <c r="AF29" s="18"/>
      <c r="AH29" s="18"/>
      <c r="AJ29" s="16"/>
      <c r="AK29" s="17"/>
      <c r="AL29" s="18"/>
    </row>
    <row r="30" spans="1:40" ht="20.25" customHeight="1" thickBot="1">
      <c r="A30" s="1151"/>
      <c r="B30" s="1151"/>
      <c r="C30" s="1151"/>
      <c r="D30" s="208" t="s">
        <v>734</v>
      </c>
      <c r="G30" s="15"/>
      <c r="H30" s="15"/>
      <c r="AN30" s="15"/>
    </row>
    <row r="31" spans="1:27" ht="15" customHeight="1" thickBot="1">
      <c r="A31" s="1130" t="s">
        <v>79</v>
      </c>
      <c r="B31" s="1131"/>
      <c r="C31" s="1130" t="s">
        <v>80</v>
      </c>
      <c r="D31" s="1131"/>
      <c r="E31" s="703">
        <v>41943</v>
      </c>
      <c r="F31" s="704" t="s">
        <v>1007</v>
      </c>
      <c r="G31" s="704" t="s">
        <v>699</v>
      </c>
      <c r="H31" s="705" t="s">
        <v>70</v>
      </c>
      <c r="I31" s="703">
        <v>42035</v>
      </c>
      <c r="J31" s="704" t="s">
        <v>1008</v>
      </c>
      <c r="K31" s="704" t="s">
        <v>125</v>
      </c>
      <c r="L31" s="704" t="s">
        <v>70</v>
      </c>
      <c r="M31" s="704" t="s">
        <v>126</v>
      </c>
      <c r="N31" s="704" t="s">
        <v>99</v>
      </c>
      <c r="O31" s="704" t="s">
        <v>1009</v>
      </c>
      <c r="P31" s="704" t="s">
        <v>1011</v>
      </c>
      <c r="Q31" s="704" t="s">
        <v>1012</v>
      </c>
      <c r="R31" s="704" t="s">
        <v>70</v>
      </c>
      <c r="S31" s="704" t="s">
        <v>1014</v>
      </c>
      <c r="T31" s="731" t="s">
        <v>51</v>
      </c>
      <c r="Z31" s="152"/>
      <c r="AA31" s="152"/>
    </row>
    <row r="32" spans="1:27" ht="17.25" customHeight="1" thickBot="1">
      <c r="A32" s="1152" t="s">
        <v>119</v>
      </c>
      <c r="B32" s="1153"/>
      <c r="C32" s="342" t="s">
        <v>82</v>
      </c>
      <c r="D32" s="732">
        <v>0</v>
      </c>
      <c r="E32" s="615">
        <f aca="true" t="shared" si="2" ref="E32:G34">IF(E$27=0,"",ROUND(E$27*$D32/1000,0))</f>
      </c>
      <c r="F32" s="615">
        <f t="shared" si="2"/>
      </c>
      <c r="G32" s="615">
        <f t="shared" si="2"/>
      </c>
      <c r="H32" s="680">
        <f>IF(H26=0,"",ROUND((ROUNDDOWN(H26,-3)*$D$32/1000),0))</f>
      </c>
      <c r="I32" s="615">
        <f aca="true" t="shared" si="3" ref="I32:K34">IF(I$27=0,"",ROUND(I$27*$D32/1000,0))</f>
      </c>
      <c r="J32" s="615">
        <f t="shared" si="3"/>
      </c>
      <c r="K32" s="615">
        <f t="shared" si="3"/>
      </c>
      <c r="L32" s="680">
        <f>IF(L26=0,"",ROUND((ROUNDDOWN(L26,-3)*$D$32/1000),0))</f>
      </c>
      <c r="M32" s="615">
        <f aca="true" t="shared" si="4" ref="M32:Q33">IF(M$27=0,"",ROUND(M$27*$D32/1000,0))</f>
      </c>
      <c r="N32" s="615">
        <f t="shared" si="4"/>
      </c>
      <c r="O32" s="615">
        <f t="shared" si="4"/>
      </c>
      <c r="P32" s="615">
        <f t="shared" si="4"/>
      </c>
      <c r="Q32" s="615">
        <f t="shared" si="4"/>
      </c>
      <c r="R32" s="680">
        <f>IF(R26=0,"",ROUND((ROUNDDOWN(R26,-3)*$D$32/1000),0))</f>
      </c>
      <c r="S32" s="615">
        <f>IF(S$27=0,"",ROUND(S$27*$D32/1000,0))</f>
      </c>
      <c r="T32" s="681">
        <f aca="true" t="shared" si="5" ref="T32:T45">SUM(E32:S32)</f>
        <v>0</v>
      </c>
      <c r="Z32" s="207"/>
      <c r="AA32" s="207"/>
    </row>
    <row r="33" spans="1:27" ht="17.25" customHeight="1" thickBot="1">
      <c r="A33" s="1157" t="s">
        <v>81</v>
      </c>
      <c r="B33" s="1158"/>
      <c r="C33" s="342" t="s">
        <v>82</v>
      </c>
      <c r="D33" s="732">
        <v>0</v>
      </c>
      <c r="E33" s="616">
        <f t="shared" si="2"/>
      </c>
      <c r="F33" s="616">
        <f t="shared" si="2"/>
      </c>
      <c r="G33" s="616">
        <f t="shared" si="2"/>
      </c>
      <c r="H33" s="682">
        <f>IF(H$26=0,"",ROUND((ROUNDDOWN(H$26,-3)*$D33/1000),0))</f>
      </c>
      <c r="I33" s="616">
        <f t="shared" si="3"/>
      </c>
      <c r="J33" s="616">
        <f t="shared" si="3"/>
      </c>
      <c r="K33" s="616">
        <f t="shared" si="3"/>
      </c>
      <c r="L33" s="682">
        <f>IF(L$26=0,"",ROUND((ROUNDDOWN(L$26,-3)*$D33/1000),0))</f>
      </c>
      <c r="M33" s="616">
        <f t="shared" si="4"/>
      </c>
      <c r="N33" s="616">
        <f t="shared" si="4"/>
      </c>
      <c r="O33" s="616">
        <f t="shared" si="4"/>
      </c>
      <c r="P33" s="616">
        <f t="shared" si="4"/>
      </c>
      <c r="Q33" s="616">
        <f t="shared" si="4"/>
      </c>
      <c r="R33" s="682">
        <f>IF(R$26=0,"",ROUND((ROUNDDOWN(R$26,-3)*$D33/1000),0))</f>
      </c>
      <c r="S33" s="616">
        <f>IF(S$27=0,"",ROUND(S$27*$D33/1000,0))</f>
      </c>
      <c r="T33" s="683">
        <f t="shared" si="5"/>
        <v>0</v>
      </c>
      <c r="Z33" s="207"/>
      <c r="AA33" s="207"/>
    </row>
    <row r="34" spans="1:27" s="203" customFormat="1" ht="17.25" customHeight="1" thickBot="1">
      <c r="A34" s="1157" t="s">
        <v>142</v>
      </c>
      <c r="B34" s="1158"/>
      <c r="C34" s="342" t="s">
        <v>82</v>
      </c>
      <c r="D34" s="732">
        <v>0</v>
      </c>
      <c r="E34" s="904">
        <f t="shared" si="2"/>
      </c>
      <c r="F34" s="904">
        <f t="shared" si="2"/>
      </c>
      <c r="G34" s="904">
        <f>IF(G$27=0,"",ROUND(G$27*$D34/1000,0))</f>
      </c>
      <c r="H34" s="904">
        <f>IF(H$26=0,"",ROUND((ROUNDDOWN(H$26,-3)*$D34/1000),0))</f>
      </c>
      <c r="I34" s="904">
        <f t="shared" si="3"/>
      </c>
      <c r="J34" s="617">
        <f t="shared" si="3"/>
      </c>
      <c r="K34" s="617">
        <f t="shared" si="3"/>
      </c>
      <c r="L34" s="682">
        <f>IF(L$26=0,"",ROUND((ROUNDDOWN(L$26,-3)*$D34/1000),0))</f>
      </c>
      <c r="M34" s="684" t="s">
        <v>1018</v>
      </c>
      <c r="N34" s="685" t="s">
        <v>1018</v>
      </c>
      <c r="O34" s="685" t="s">
        <v>1018</v>
      </c>
      <c r="P34" s="684" t="s">
        <v>1018</v>
      </c>
      <c r="Q34" s="685" t="s">
        <v>1018</v>
      </c>
      <c r="R34" s="685" t="s">
        <v>1018</v>
      </c>
      <c r="S34" s="685" t="s">
        <v>1018</v>
      </c>
      <c r="T34" s="686">
        <f t="shared" si="5"/>
        <v>0</v>
      </c>
      <c r="Z34" s="205"/>
      <c r="AA34" s="205"/>
    </row>
    <row r="35" spans="1:27" s="203" customFormat="1" ht="17.25" customHeight="1" thickBot="1">
      <c r="A35" s="1159" t="s">
        <v>703</v>
      </c>
      <c r="B35" s="1160"/>
      <c r="C35" s="342" t="s">
        <v>82</v>
      </c>
      <c r="D35" s="732">
        <v>0</v>
      </c>
      <c r="E35" s="687" t="s">
        <v>1018</v>
      </c>
      <c r="F35" s="684" t="s">
        <v>1018</v>
      </c>
      <c r="G35" s="685" t="s">
        <v>1018</v>
      </c>
      <c r="H35" s="685" t="s">
        <v>1018</v>
      </c>
      <c r="I35" s="685" t="s">
        <v>1018</v>
      </c>
      <c r="J35" s="685" t="s">
        <v>1018</v>
      </c>
      <c r="K35" s="689" t="s">
        <v>1018</v>
      </c>
      <c r="L35" s="685" t="s">
        <v>1018</v>
      </c>
      <c r="M35" s="690">
        <f>IF(M$27=0,"",ROUND(M$27*$D35/1000,0))</f>
      </c>
      <c r="N35" s="690">
        <f>IF(N$27=0,"",ROUND(N$27*$D35/1000,0))</f>
      </c>
      <c r="O35" s="690">
        <f>IF(O$27=0,"",ROUND(O$27*$D35/1000,0))</f>
      </c>
      <c r="P35" s="690">
        <f>IF(P$27=0,"",ROUND(P$27*$D35/1000,0))</f>
      </c>
      <c r="Q35" s="690">
        <f>IF(Q$27=0,"",ROUND(Q$27*$D35/1000,0))</f>
      </c>
      <c r="R35" s="682">
        <f>IF(R$26=0,"",ROUND((ROUNDDOWN(R$26,-3)*$D35/1000),0))</f>
      </c>
      <c r="S35" s="690">
        <f>IF(S$27=0,"",ROUND(S$27*$D35/1000,0))</f>
      </c>
      <c r="T35" s="683">
        <f t="shared" si="5"/>
        <v>0</v>
      </c>
      <c r="Z35" s="205"/>
      <c r="AA35" s="205"/>
    </row>
    <row r="36" spans="1:27" s="203" customFormat="1" ht="17.25" customHeight="1" thickBot="1">
      <c r="A36" s="1161" t="s">
        <v>1019</v>
      </c>
      <c r="B36" s="1162"/>
      <c r="C36" s="343" t="s">
        <v>82</v>
      </c>
      <c r="D36" s="733">
        <v>0</v>
      </c>
      <c r="E36" s="214">
        <f>IF(E$28=0,"",ROUND(E$28*$D36/1000,0))</f>
      </c>
      <c r="F36" s="682">
        <f>IF(F$28=0,"",ROUND(F$28*$D36/1000,0))</f>
      </c>
      <c r="G36" s="682">
        <f>IF(G$28=0,"",ROUND(G$28*$D36/1000,0))</f>
      </c>
      <c r="H36" s="617">
        <f>IF(H26=0,"",ROUND((IF(ROUNDDOWN(H26,-3)&gt;1500000,1500000,ROUNDDOWN(H26,-3))*$D$36/1000),0))</f>
      </c>
      <c r="I36" s="682">
        <f>IF(I$28=0,"",ROUND(I$28*$D36/1000,0))</f>
      </c>
      <c r="J36" s="682">
        <f>IF(J$28=0,"",ROUND(J$28*$D36/1000,0))</f>
      </c>
      <c r="K36" s="682">
        <f>IF(K$28=0,"",ROUND(K$28*$D36/1000,0))</f>
      </c>
      <c r="L36" s="617">
        <f>IF(L26=0,"",ROUND((IF(ROUNDDOWN(L26,-3)&gt;1500000,1500000,ROUNDDOWN(L26,-3))*$D$36/1000),0))</f>
      </c>
      <c r="M36" s="616">
        <f>IF(M$28=0,"",ROUND(M$28*$D36/1000,0))</f>
      </c>
      <c r="N36" s="616">
        <f>IF(N$28=0,"",ROUND(N$28*$D36/1000,0))</f>
      </c>
      <c r="O36" s="616">
        <f>IF(O$28=0,"",ROUND(O$28*$D36/1000,0))</f>
      </c>
      <c r="P36" s="616">
        <f>IF(P$28=0,"",ROUND(P$28*$D36/1000,0))</f>
      </c>
      <c r="Q36" s="616">
        <f>IF(Q$28=0,"",ROUND(Q$28*$D36/1000,0))</f>
      </c>
      <c r="R36" s="617">
        <f>IF(R26=0,"",ROUND((IF(ROUNDDOWN(R26,-3)&gt;1500000,1500000,ROUNDDOWN(R26,-3))*$D$36/1000),0))</f>
      </c>
      <c r="S36" s="685" t="s">
        <v>1018</v>
      </c>
      <c r="T36" s="683">
        <f t="shared" si="5"/>
        <v>0</v>
      </c>
      <c r="Z36" s="205"/>
      <c r="AA36" s="205"/>
    </row>
    <row r="37" spans="1:27" s="203" customFormat="1" ht="17.25" customHeight="1" thickBot="1">
      <c r="A37" s="1161" t="s">
        <v>1020</v>
      </c>
      <c r="B37" s="1162"/>
      <c r="C37" s="343" t="s">
        <v>82</v>
      </c>
      <c r="D37" s="733">
        <v>0</v>
      </c>
      <c r="E37" s="687" t="s">
        <v>1018</v>
      </c>
      <c r="F37" s="684" t="s">
        <v>1018</v>
      </c>
      <c r="G37" s="685" t="s">
        <v>1018</v>
      </c>
      <c r="H37" s="685" t="s">
        <v>1018</v>
      </c>
      <c r="I37" s="685" t="s">
        <v>1018</v>
      </c>
      <c r="J37" s="685" t="s">
        <v>1018</v>
      </c>
      <c r="K37" s="689" t="s">
        <v>1018</v>
      </c>
      <c r="L37" s="685" t="s">
        <v>1018</v>
      </c>
      <c r="M37" s="684" t="s">
        <v>1018</v>
      </c>
      <c r="N37" s="685" t="s">
        <v>1018</v>
      </c>
      <c r="O37" s="685" t="s">
        <v>1018</v>
      </c>
      <c r="P37" s="684" t="s">
        <v>1018</v>
      </c>
      <c r="Q37" s="685" t="s">
        <v>1018</v>
      </c>
      <c r="R37" s="685" t="s">
        <v>1018</v>
      </c>
      <c r="S37" s="616">
        <f>IF(S$28=0,"",ROUND(S$28*$D37/1000,0))</f>
      </c>
      <c r="T37" s="683">
        <f t="shared" si="5"/>
        <v>0</v>
      </c>
      <c r="Z37" s="205"/>
      <c r="AA37" s="205"/>
    </row>
    <row r="38" spans="1:27" s="203" customFormat="1" ht="17.25" customHeight="1" thickBot="1">
      <c r="A38" s="1159" t="s">
        <v>702</v>
      </c>
      <c r="B38" s="1160"/>
      <c r="C38" s="343" t="s">
        <v>82</v>
      </c>
      <c r="D38" s="732">
        <v>0</v>
      </c>
      <c r="E38" s="617">
        <f aca="true" t="shared" si="6" ref="E38:G40">IF(E$28=0,"",ROUND(E$28*$D38/1000,0))</f>
      </c>
      <c r="F38" s="617">
        <f t="shared" si="6"/>
      </c>
      <c r="G38" s="617">
        <f t="shared" si="6"/>
      </c>
      <c r="H38" s="617">
        <f>IF(H26=0,"",ROUND((IF(ROUNDDOWN(H26,-3)&gt;1500000,1500000,ROUNDDOWN(H26,-3))*$D$38/1000),0))</f>
      </c>
      <c r="I38" s="617">
        <f aca="true" t="shared" si="7" ref="I38:K40">IF(I$28=0,"",ROUND(I$28*$D38/1000,0))</f>
      </c>
      <c r="J38" s="617">
        <f t="shared" si="7"/>
      </c>
      <c r="K38" s="617">
        <f t="shared" si="7"/>
      </c>
      <c r="L38" s="617">
        <f>IF(L$26=0,"",ROUND((IF(ROUNDDOWN(L$26,-3)&gt;1500000,1500000,ROUNDDOWN(L$26,-3))*$D38/1000),0))</f>
      </c>
      <c r="M38" s="617">
        <f aca="true" t="shared" si="8" ref="M38:Q40">IF(M$28=0,"",ROUND(M$28*$D38/1000,0))</f>
      </c>
      <c r="N38" s="617">
        <f t="shared" si="8"/>
      </c>
      <c r="O38" s="617">
        <f t="shared" si="8"/>
      </c>
      <c r="P38" s="617">
        <f t="shared" si="8"/>
      </c>
      <c r="Q38" s="617">
        <f t="shared" si="8"/>
      </c>
      <c r="R38" s="617">
        <f>IF(R$26=0,"",ROUND((IF(ROUNDDOWN(R$26,-3)&gt;1500000,1500000,ROUNDDOWN(R$26,-3))*$D38/1000),0))</f>
      </c>
      <c r="S38" s="617">
        <f>IF(S$28=0,"",ROUND(S$28*$D38/1000,0))</f>
      </c>
      <c r="T38" s="683">
        <f t="shared" si="5"/>
        <v>0</v>
      </c>
      <c r="Z38" s="205"/>
      <c r="AA38" s="205"/>
    </row>
    <row r="39" spans="1:27" s="203" customFormat="1" ht="17.25" customHeight="1" thickBot="1">
      <c r="A39" s="1161" t="s">
        <v>639</v>
      </c>
      <c r="B39" s="1162"/>
      <c r="C39" s="206" t="s">
        <v>82</v>
      </c>
      <c r="D39" s="732">
        <v>0</v>
      </c>
      <c r="E39" s="617">
        <f t="shared" si="6"/>
      </c>
      <c r="F39" s="617">
        <f t="shared" si="6"/>
      </c>
      <c r="G39" s="617">
        <f t="shared" si="6"/>
      </c>
      <c r="H39" s="687" t="s">
        <v>1018</v>
      </c>
      <c r="I39" s="617">
        <f t="shared" si="7"/>
      </c>
      <c r="J39" s="617">
        <f t="shared" si="7"/>
      </c>
      <c r="K39" s="617">
        <f t="shared" si="7"/>
      </c>
      <c r="L39" s="687" t="s">
        <v>1018</v>
      </c>
      <c r="M39" s="617">
        <f t="shared" si="8"/>
      </c>
      <c r="N39" s="617">
        <f t="shared" si="8"/>
      </c>
      <c r="O39" s="617">
        <f t="shared" si="8"/>
      </c>
      <c r="P39" s="617">
        <f t="shared" si="8"/>
      </c>
      <c r="Q39" s="617">
        <f t="shared" si="8"/>
      </c>
      <c r="R39" s="687" t="s">
        <v>1018</v>
      </c>
      <c r="S39" s="617">
        <f>IF(S$28=0,"",ROUND(S$28*$D39/1000,0))</f>
      </c>
      <c r="T39" s="683">
        <f t="shared" si="5"/>
        <v>0</v>
      </c>
      <c r="Z39" s="205"/>
      <c r="AA39" s="205"/>
    </row>
    <row r="40" spans="1:27" s="203" customFormat="1" ht="17.25" customHeight="1" thickBot="1">
      <c r="A40" s="1161" t="s">
        <v>639</v>
      </c>
      <c r="B40" s="1162"/>
      <c r="C40" s="206" t="s">
        <v>82</v>
      </c>
      <c r="D40" s="732">
        <v>0</v>
      </c>
      <c r="E40" s="617">
        <f t="shared" si="6"/>
      </c>
      <c r="F40" s="617">
        <f t="shared" si="6"/>
      </c>
      <c r="G40" s="617">
        <f t="shared" si="6"/>
      </c>
      <c r="H40" s="687" t="s">
        <v>1018</v>
      </c>
      <c r="I40" s="617">
        <f t="shared" si="7"/>
      </c>
      <c r="J40" s="617">
        <f t="shared" si="7"/>
      </c>
      <c r="K40" s="617">
        <f t="shared" si="7"/>
      </c>
      <c r="L40" s="687" t="s">
        <v>1018</v>
      </c>
      <c r="M40" s="617">
        <f t="shared" si="8"/>
      </c>
      <c r="N40" s="617">
        <f t="shared" si="8"/>
      </c>
      <c r="O40" s="617">
        <f t="shared" si="8"/>
      </c>
      <c r="P40" s="617">
        <f t="shared" si="8"/>
      </c>
      <c r="Q40" s="617">
        <f t="shared" si="8"/>
      </c>
      <c r="R40" s="687" t="s">
        <v>1018</v>
      </c>
      <c r="S40" s="617">
        <f>IF(S$28=0,"",ROUND(S$28*$D40/1000,0))</f>
      </c>
      <c r="T40" s="683">
        <f t="shared" si="5"/>
        <v>0</v>
      </c>
      <c r="Z40" s="205"/>
      <c r="AA40" s="205"/>
    </row>
    <row r="41" spans="1:27" s="203" customFormat="1" ht="17.25" customHeight="1" thickBot="1">
      <c r="A41" s="1161" t="s">
        <v>638</v>
      </c>
      <c r="B41" s="1162"/>
      <c r="C41" s="206" t="s">
        <v>82</v>
      </c>
      <c r="D41" s="732">
        <v>0</v>
      </c>
      <c r="E41" s="687" t="s">
        <v>1018</v>
      </c>
      <c r="F41" s="692" t="s">
        <v>1018</v>
      </c>
      <c r="G41" s="687" t="s">
        <v>1018</v>
      </c>
      <c r="H41" s="691">
        <f>IF(H$26=0,"",ROUND((IF(ROUNDDOWN(H$26,-3)&gt;1500000,1500000,ROUNDDOWN(H$26,-3))*$D41/1000),0))</f>
      </c>
      <c r="I41" s="687" t="s">
        <v>1018</v>
      </c>
      <c r="J41" s="687" t="s">
        <v>1018</v>
      </c>
      <c r="K41" s="688" t="s">
        <v>1018</v>
      </c>
      <c r="L41" s="617">
        <f>IF(L$26=0,"",ROUND((IF(ROUNDDOWN(L$26,-3)&gt;1500000,1500000,ROUNDDOWN(L$26,-3))*$D41/1000),0))</f>
      </c>
      <c r="M41" s="693" t="s">
        <v>1018</v>
      </c>
      <c r="N41" s="694" t="s">
        <v>1018</v>
      </c>
      <c r="O41" s="694" t="s">
        <v>1018</v>
      </c>
      <c r="P41" s="693" t="s">
        <v>1018</v>
      </c>
      <c r="Q41" s="694" t="s">
        <v>1018</v>
      </c>
      <c r="R41" s="617">
        <f>IF(R$26=0,"",ROUND((IF(ROUNDDOWN(R$26,-3)&gt;1500000,1500000,ROUNDDOWN(R$26,-3))*$D41/1000),0))</f>
      </c>
      <c r="S41" s="694" t="s">
        <v>1018</v>
      </c>
      <c r="T41" s="683">
        <f t="shared" si="5"/>
        <v>0</v>
      </c>
      <c r="Z41" s="205"/>
      <c r="AA41" s="205"/>
    </row>
    <row r="42" spans="1:27" s="203" customFormat="1" ht="17.25" customHeight="1" thickBot="1">
      <c r="A42" s="1161" t="s">
        <v>638</v>
      </c>
      <c r="B42" s="1162"/>
      <c r="C42" s="206" t="s">
        <v>82</v>
      </c>
      <c r="D42" s="732">
        <v>0</v>
      </c>
      <c r="E42" s="687" t="s">
        <v>1018</v>
      </c>
      <c r="F42" s="692" t="s">
        <v>1018</v>
      </c>
      <c r="G42" s="687" t="s">
        <v>1018</v>
      </c>
      <c r="H42" s="691">
        <f>IF(H$26=0,"",ROUND((IF(ROUNDDOWN(H$26,-3)&gt;1500000,1500000,ROUNDDOWN(H$26,-3))*$D42/1000),0))</f>
      </c>
      <c r="I42" s="687" t="s">
        <v>1018</v>
      </c>
      <c r="J42" s="687" t="s">
        <v>1018</v>
      </c>
      <c r="K42" s="688" t="s">
        <v>1018</v>
      </c>
      <c r="L42" s="617">
        <f>IF(L$26=0,"",ROUND((IF(ROUNDDOWN(L$26,-3)&gt;1500000,1500000,ROUNDDOWN(L$26,-3))*$D42/1000),0))</f>
      </c>
      <c r="M42" s="693" t="s">
        <v>1018</v>
      </c>
      <c r="N42" s="694" t="s">
        <v>1018</v>
      </c>
      <c r="O42" s="694" t="s">
        <v>1018</v>
      </c>
      <c r="P42" s="693" t="s">
        <v>1018</v>
      </c>
      <c r="Q42" s="694" t="s">
        <v>1018</v>
      </c>
      <c r="R42" s="617">
        <f>IF(R$26=0,"",ROUND((IF(ROUNDDOWN(R$26,-3)&gt;1500000,1500000,ROUNDDOWN(R$26,-3))*$D42/1000),0))</f>
      </c>
      <c r="S42" s="694" t="s">
        <v>1018</v>
      </c>
      <c r="T42" s="683">
        <f t="shared" si="5"/>
        <v>0</v>
      </c>
      <c r="Z42" s="205"/>
      <c r="AA42" s="205"/>
    </row>
    <row r="43" spans="1:27" s="203" customFormat="1" ht="17.25" customHeight="1" thickBot="1">
      <c r="A43" s="1159" t="s">
        <v>83</v>
      </c>
      <c r="B43" s="1160"/>
      <c r="C43" s="341" t="s">
        <v>82</v>
      </c>
      <c r="D43" s="732">
        <v>0</v>
      </c>
      <c r="E43" s="617">
        <f>IF(E$26=0,"",ROUND(E$26*$D43/1000,0))</f>
      </c>
      <c r="F43" s="617">
        <f aca="true" t="shared" si="9" ref="F43:S43">IF(F$26=0,"",ROUND(F$26*$D43/1000,0))</f>
      </c>
      <c r="G43" s="617">
        <f t="shared" si="9"/>
      </c>
      <c r="H43" s="617">
        <f t="shared" si="9"/>
      </c>
      <c r="I43" s="617">
        <f t="shared" si="9"/>
      </c>
      <c r="J43" s="617">
        <f t="shared" si="9"/>
      </c>
      <c r="K43" s="691">
        <f t="shared" si="9"/>
      </c>
      <c r="L43" s="617">
        <f t="shared" si="9"/>
      </c>
      <c r="M43" s="690">
        <f t="shared" si="9"/>
      </c>
      <c r="N43" s="617">
        <f t="shared" si="9"/>
      </c>
      <c r="O43" s="617">
        <f t="shared" si="9"/>
      </c>
      <c r="P43" s="690">
        <f t="shared" si="9"/>
      </c>
      <c r="Q43" s="617">
        <f t="shared" si="9"/>
      </c>
      <c r="R43" s="617">
        <f t="shared" si="9"/>
      </c>
      <c r="S43" s="617">
        <f t="shared" si="9"/>
      </c>
      <c r="T43" s="683">
        <f t="shared" si="5"/>
        <v>0</v>
      </c>
      <c r="Z43" s="205"/>
      <c r="AA43" s="205"/>
    </row>
    <row r="44" spans="1:27" s="203" customFormat="1" ht="17.25" customHeight="1" thickBot="1">
      <c r="A44" s="1159" t="s">
        <v>84</v>
      </c>
      <c r="B44" s="1160"/>
      <c r="C44" s="341" t="s">
        <v>82</v>
      </c>
      <c r="D44" s="732">
        <v>0</v>
      </c>
      <c r="E44" s="617">
        <f aca="true" t="shared" si="10" ref="E44:S45">IF(E$26=0,"",ROUNDDOWN(E$26*$D44/1000,0))</f>
      </c>
      <c r="F44" s="617">
        <f t="shared" si="10"/>
      </c>
      <c r="G44" s="617">
        <f t="shared" si="10"/>
      </c>
      <c r="H44" s="617">
        <f t="shared" si="10"/>
      </c>
      <c r="I44" s="617">
        <f t="shared" si="10"/>
      </c>
      <c r="J44" s="617">
        <f t="shared" si="10"/>
      </c>
      <c r="K44" s="691">
        <f t="shared" si="10"/>
      </c>
      <c r="L44" s="617">
        <f t="shared" si="10"/>
      </c>
      <c r="M44" s="690">
        <f t="shared" si="10"/>
      </c>
      <c r="N44" s="617">
        <f t="shared" si="10"/>
      </c>
      <c r="O44" s="617">
        <f t="shared" si="10"/>
      </c>
      <c r="P44" s="690">
        <f t="shared" si="10"/>
      </c>
      <c r="Q44" s="617">
        <f t="shared" si="10"/>
      </c>
      <c r="R44" s="617">
        <f t="shared" si="10"/>
      </c>
      <c r="S44" s="617">
        <f t="shared" si="10"/>
      </c>
      <c r="T44" s="683">
        <f t="shared" si="5"/>
        <v>0</v>
      </c>
      <c r="Z44" s="205"/>
      <c r="AA44" s="205"/>
    </row>
    <row r="45" spans="1:27" s="203" customFormat="1" ht="17.25" customHeight="1" thickBot="1">
      <c r="A45" s="1159" t="s">
        <v>84</v>
      </c>
      <c r="B45" s="1160"/>
      <c r="C45" s="341" t="s">
        <v>82</v>
      </c>
      <c r="D45" s="732">
        <v>0</v>
      </c>
      <c r="E45" s="617">
        <f t="shared" si="10"/>
      </c>
      <c r="F45" s="617">
        <f t="shared" si="10"/>
      </c>
      <c r="G45" s="617">
        <f t="shared" si="10"/>
      </c>
      <c r="H45" s="617">
        <f t="shared" si="10"/>
      </c>
      <c r="I45" s="617">
        <f t="shared" si="10"/>
      </c>
      <c r="J45" s="617">
        <f t="shared" si="10"/>
      </c>
      <c r="K45" s="617">
        <f t="shared" si="10"/>
      </c>
      <c r="L45" s="617">
        <f t="shared" si="10"/>
      </c>
      <c r="M45" s="690">
        <f t="shared" si="10"/>
      </c>
      <c r="N45" s="617">
        <f t="shared" si="10"/>
      </c>
      <c r="O45" s="695">
        <f t="shared" si="10"/>
      </c>
      <c r="P45" s="690">
        <f t="shared" si="10"/>
      </c>
      <c r="Q45" s="617">
        <f t="shared" si="10"/>
      </c>
      <c r="R45" s="617">
        <f t="shared" si="10"/>
      </c>
      <c r="S45" s="695">
        <f t="shared" si="10"/>
      </c>
      <c r="T45" s="696">
        <f t="shared" si="5"/>
        <v>0</v>
      </c>
      <c r="Z45" s="205"/>
      <c r="AA45" s="205"/>
    </row>
    <row r="46" spans="1:28" s="203" customFormat="1" ht="17.25" customHeight="1" thickBot="1">
      <c r="A46" s="1165" t="s">
        <v>85</v>
      </c>
      <c r="B46" s="1166"/>
      <c r="C46" s="901"/>
      <c r="D46" s="734"/>
      <c r="E46" s="735">
        <f aca="true" t="shared" si="11" ref="E46:S46">SUM(E32:E45)</f>
        <v>0</v>
      </c>
      <c r="F46" s="735">
        <f t="shared" si="11"/>
        <v>0</v>
      </c>
      <c r="G46" s="737">
        <f t="shared" si="11"/>
        <v>0</v>
      </c>
      <c r="H46" s="735">
        <f t="shared" si="11"/>
        <v>0</v>
      </c>
      <c r="I46" s="735">
        <f t="shared" si="11"/>
        <v>0</v>
      </c>
      <c r="J46" s="735">
        <f t="shared" si="11"/>
        <v>0</v>
      </c>
      <c r="K46" s="735">
        <f t="shared" si="11"/>
        <v>0</v>
      </c>
      <c r="L46" s="736">
        <f t="shared" si="11"/>
        <v>0</v>
      </c>
      <c r="M46" s="735">
        <f t="shared" si="11"/>
        <v>0</v>
      </c>
      <c r="N46" s="737">
        <f t="shared" si="11"/>
        <v>0</v>
      </c>
      <c r="O46" s="735">
        <f t="shared" si="11"/>
        <v>0</v>
      </c>
      <c r="P46" s="735">
        <f t="shared" si="11"/>
        <v>0</v>
      </c>
      <c r="Q46" s="737">
        <f t="shared" si="11"/>
        <v>0</v>
      </c>
      <c r="R46" s="736">
        <f t="shared" si="11"/>
        <v>0</v>
      </c>
      <c r="S46" s="735">
        <f t="shared" si="11"/>
        <v>0</v>
      </c>
      <c r="T46" s="738">
        <f>SUM(T32:T45)</f>
        <v>0</v>
      </c>
      <c r="U46" s="739"/>
      <c r="W46" s="740"/>
      <c r="Y46" s="614"/>
      <c r="Z46" s="205"/>
      <c r="AA46" s="205"/>
      <c r="AB46" s="204"/>
    </row>
    <row r="47" spans="1:28" s="339" customFormat="1" ht="15" customHeight="1">
      <c r="A47" s="7" t="s">
        <v>1021</v>
      </c>
      <c r="B47" s="335"/>
      <c r="C47" s="336"/>
      <c r="D47" s="336"/>
      <c r="E47" s="340"/>
      <c r="F47" s="337"/>
      <c r="G47" s="337"/>
      <c r="H47" s="337"/>
      <c r="I47" s="346"/>
      <c r="J47" s="346"/>
      <c r="K47" s="346"/>
      <c r="L47" s="346"/>
      <c r="M47" s="346"/>
      <c r="N47" s="346"/>
      <c r="O47" s="346"/>
      <c r="P47" s="337"/>
      <c r="Q47" s="1167">
        <f>IF(OR($G$26&gt;=1501000,$L$26&gt;=1501000,$P$26&gt;=150100,$L$26&gt;=1501000,$P$26&gt;=1501000),"標準賞与上限：月間150万円超のため150万円で計算","")</f>
      </c>
      <c r="R47" s="1167"/>
      <c r="S47" s="1168"/>
      <c r="T47" s="1168"/>
      <c r="U47" s="1168"/>
      <c r="V47" s="337"/>
      <c r="W47" s="337"/>
      <c r="X47" s="337"/>
      <c r="Y47" s="741"/>
      <c r="Z47" s="337"/>
      <c r="AA47" s="337"/>
      <c r="AB47" s="338"/>
    </row>
    <row r="48" spans="1:20" ht="15" customHeight="1">
      <c r="A48" s="345"/>
      <c r="B48" s="19"/>
      <c r="C48" s="742"/>
      <c r="D48" s="20"/>
      <c r="E48" s="20"/>
      <c r="F48" s="20"/>
      <c r="G48" s="197"/>
      <c r="H48" s="20"/>
      <c r="I48" s="20"/>
      <c r="J48" s="20"/>
      <c r="K48" s="197"/>
      <c r="L48" s="20"/>
      <c r="M48" s="20"/>
      <c r="N48" s="20"/>
      <c r="O48" s="197"/>
      <c r="P48" s="20"/>
      <c r="Q48" s="20"/>
      <c r="R48" s="20"/>
      <c r="S48" s="20"/>
      <c r="T48" s="20"/>
    </row>
    <row r="49" spans="1:20" ht="15" customHeight="1" thickBot="1">
      <c r="A49" s="7"/>
      <c r="C49" s="584" t="s">
        <v>86</v>
      </c>
      <c r="D49" s="21"/>
      <c r="E49" s="21"/>
      <c r="F49" s="21"/>
      <c r="G49" s="1169"/>
      <c r="H49" s="1169"/>
      <c r="I49" s="1169"/>
      <c r="J49" s="1169"/>
      <c r="K49" s="1169"/>
      <c r="L49" s="1169"/>
      <c r="M49" s="21"/>
      <c r="N49" s="21"/>
      <c r="O49" s="749"/>
      <c r="Q49" s="1170" t="s">
        <v>87</v>
      </c>
      <c r="R49" s="1170"/>
      <c r="S49"/>
      <c r="T49"/>
    </row>
    <row r="50" spans="1:20" ht="29.25" customHeight="1" thickBot="1">
      <c r="A50" s="7"/>
      <c r="C50" s="21"/>
      <c r="D50" s="143"/>
      <c r="E50" s="143"/>
      <c r="F50" s="143"/>
      <c r="G50" s="143"/>
      <c r="H50" s="143"/>
      <c r="I50" s="143"/>
      <c r="J50" s="143"/>
      <c r="K50" s="21"/>
      <c r="L50" s="21"/>
      <c r="M50" s="749"/>
      <c r="N50" s="21"/>
      <c r="O50" s="21"/>
      <c r="P50" s="21"/>
      <c r="Q50" s="1179">
        <f>'総労働時間算定表(1)'!H8</f>
        <v>1920</v>
      </c>
      <c r="R50" s="1180"/>
      <c r="S50" s="143" t="s">
        <v>97</v>
      </c>
      <c r="T50" s="143"/>
    </row>
    <row r="51" spans="3:20" ht="15" customHeight="1" thickBot="1">
      <c r="C51" s="21"/>
      <c r="D51" s="21"/>
      <c r="E51" s="21"/>
      <c r="F51" s="21"/>
      <c r="G51" s="21"/>
      <c r="H51" s="21"/>
      <c r="I51" s="21"/>
      <c r="J51" s="1181"/>
      <c r="K51" s="1181"/>
      <c r="L51" s="21"/>
      <c r="M51" s="21"/>
      <c r="N51" s="21"/>
      <c r="O51" s="21"/>
      <c r="P51" s="21"/>
      <c r="Q51" s="1182"/>
      <c r="R51" s="1182"/>
      <c r="S51" s="21"/>
      <c r="T51" s="21"/>
    </row>
    <row r="52" spans="3:20" ht="30.75" customHeight="1" thickBot="1" thickTop="1">
      <c r="C52" s="23" t="s">
        <v>88</v>
      </c>
      <c r="D52" s="21"/>
      <c r="E52" s="24"/>
      <c r="F52" s="24" t="s">
        <v>666</v>
      </c>
      <c r="G52" s="1183">
        <f>T26</f>
        <v>0</v>
      </c>
      <c r="H52" s="1184"/>
      <c r="I52" s="743" t="s">
        <v>116</v>
      </c>
      <c r="J52" s="1185">
        <f>T46</f>
        <v>0</v>
      </c>
      <c r="K52" s="1186"/>
      <c r="L52" s="744" t="s">
        <v>665</v>
      </c>
      <c r="M52" s="92" t="s">
        <v>117</v>
      </c>
      <c r="N52" s="1179">
        <f>Q50</f>
        <v>1920</v>
      </c>
      <c r="O52" s="1180"/>
      <c r="P52" s="92" t="s">
        <v>118</v>
      </c>
      <c r="Q52" s="1163">
        <f>(ROUNDDOWN((G52+J52)/N52,0))</f>
        <v>0</v>
      </c>
      <c r="R52" s="1164"/>
      <c r="S52" s="143" t="s">
        <v>664</v>
      </c>
      <c r="T52" s="143"/>
    </row>
    <row r="53" spans="4:20" ht="15" customHeight="1" thickBot="1">
      <c r="D53" s="21"/>
      <c r="E53" s="21"/>
      <c r="F53" s="21"/>
      <c r="G53" s="21"/>
      <c r="H53" s="22"/>
      <c r="I53" s="21"/>
      <c r="J53" s="21"/>
      <c r="K53" s="21"/>
      <c r="L53" s="21"/>
      <c r="M53" s="21"/>
      <c r="N53" s="21"/>
      <c r="O53" s="21"/>
      <c r="P53" s="22"/>
      <c r="Q53" s="745" t="s">
        <v>89</v>
      </c>
      <c r="R53" s="746"/>
      <c r="S53" s="21"/>
      <c r="T53" s="21"/>
    </row>
    <row r="54" spans="4:20" ht="15" customHeight="1">
      <c r="D54" s="21"/>
      <c r="E54" s="21"/>
      <c r="F54" s="21"/>
      <c r="G54" s="25"/>
      <c r="H54" s="96"/>
      <c r="I54" s="96"/>
      <c r="J54" s="25"/>
      <c r="K54" s="96"/>
      <c r="L54" s="96"/>
      <c r="M54" s="21"/>
      <c r="N54" s="21"/>
      <c r="O54" s="201" t="s">
        <v>158</v>
      </c>
      <c r="P54" s="156"/>
      <c r="Q54" s="1171">
        <f>IF((ROUNDDOWN((G52+J52)/N52,0))&gt;=5000,5000,Q52)</f>
        <v>0</v>
      </c>
      <c r="R54" s="1172"/>
      <c r="S54" s="25"/>
      <c r="T54" s="25"/>
    </row>
    <row r="55" spans="3:20" ht="15" customHeight="1" thickBot="1">
      <c r="C55" s="202"/>
      <c r="D55" s="22"/>
      <c r="E55" s="21"/>
      <c r="F55" s="21"/>
      <c r="G55" s="25"/>
      <c r="H55" s="96"/>
      <c r="I55" s="96"/>
      <c r="J55" s="25"/>
      <c r="K55" s="96"/>
      <c r="L55" s="96"/>
      <c r="M55" s="21"/>
      <c r="N55" s="21"/>
      <c r="O55" s="201" t="s">
        <v>159</v>
      </c>
      <c r="P55" s="156"/>
      <c r="Q55" s="1173"/>
      <c r="R55" s="1174"/>
      <c r="S55" s="143" t="s">
        <v>664</v>
      </c>
      <c r="T55" s="143"/>
    </row>
    <row r="56" spans="3:20" ht="15" customHeight="1">
      <c r="C56" s="202"/>
      <c r="D56" s="22"/>
      <c r="E56" s="21"/>
      <c r="F56" s="21"/>
      <c r="G56" s="25"/>
      <c r="H56" s="96"/>
      <c r="I56" s="96"/>
      <c r="J56" s="25"/>
      <c r="K56" s="96"/>
      <c r="L56" s="96"/>
      <c r="M56" s="21"/>
      <c r="N56" s="21"/>
      <c r="O56" s="201"/>
      <c r="P56" s="156"/>
      <c r="Q56" s="747"/>
      <c r="R56" s="747"/>
      <c r="S56" s="143"/>
      <c r="T56" s="143"/>
    </row>
    <row r="57" spans="5:30" ht="18.75" customHeight="1">
      <c r="E57" s="200" t="s">
        <v>663</v>
      </c>
      <c r="F57" s="21"/>
      <c r="G57" s="21"/>
      <c r="H57" s="21"/>
      <c r="I57" s="21"/>
      <c r="J57" s="21"/>
      <c r="K57" s="21"/>
      <c r="L57" s="21"/>
      <c r="M57" s="21"/>
      <c r="N57" s="21"/>
      <c r="O57" s="21"/>
      <c r="P57" s="21"/>
      <c r="Q57" s="746"/>
      <c r="R57" s="74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75" t="s">
        <v>834</v>
      </c>
      <c r="B59" s="1176"/>
      <c r="C59" s="1176"/>
      <c r="D59" s="1176"/>
      <c r="E59" s="1177" t="str">
        <f>"名称(社名)　：　"&amp;'基本情報入力（使い方）'!C10</f>
        <v>名称(社名)　：　Ｂ金属株式会社</v>
      </c>
      <c r="F59" s="1177"/>
      <c r="G59" s="1177"/>
      <c r="H59" s="1177"/>
      <c r="I59" s="1177"/>
      <c r="J59" s="1177"/>
      <c r="K59" s="1177"/>
      <c r="L59" s="1177"/>
      <c r="M59" s="748"/>
      <c r="N59" s="1178" t="str">
        <f>"部署・役職名　：　"&amp;'基本情報入力（使い方）'!C33</f>
        <v>部署・役職名　：　</v>
      </c>
      <c r="O59" s="1178"/>
      <c r="P59" s="1178"/>
      <c r="Q59" s="1178"/>
      <c r="R59" s="1178"/>
      <c r="S59" s="199" t="s">
        <v>160</v>
      </c>
      <c r="T59" s="199"/>
      <c r="U59" s="344"/>
      <c r="V59" s="344"/>
      <c r="Y59"/>
      <c r="Z59"/>
      <c r="AA59"/>
      <c r="AB59"/>
      <c r="AC59"/>
      <c r="AD59"/>
    </row>
    <row r="60" spans="25:30" ht="15" customHeight="1">
      <c r="Y60"/>
      <c r="Z60"/>
      <c r="AA60"/>
      <c r="AB60"/>
      <c r="AC60"/>
      <c r="AD60"/>
    </row>
    <row r="66" ht="13.5">
      <c r="Q66" s="3" t="s">
        <v>695</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A43:B43"/>
    <mergeCell ref="A44:B44"/>
    <mergeCell ref="Q52:R52"/>
    <mergeCell ref="A45:B45"/>
    <mergeCell ref="A46:B46"/>
    <mergeCell ref="Q47:U47"/>
    <mergeCell ref="G49:I49"/>
    <mergeCell ref="J49:L49"/>
    <mergeCell ref="Q49:R49"/>
    <mergeCell ref="A37:B37"/>
    <mergeCell ref="A38:B38"/>
    <mergeCell ref="A39:B39"/>
    <mergeCell ref="A40:B40"/>
    <mergeCell ref="A41:B41"/>
    <mergeCell ref="A42:B42"/>
    <mergeCell ref="A32:B32"/>
    <mergeCell ref="A28:D28"/>
    <mergeCell ref="A33:B33"/>
    <mergeCell ref="A34:B34"/>
    <mergeCell ref="A35:B35"/>
    <mergeCell ref="A36:B36"/>
    <mergeCell ref="A25:B25"/>
    <mergeCell ref="C25:D25"/>
    <mergeCell ref="A26:D26"/>
    <mergeCell ref="A27:D27"/>
    <mergeCell ref="A29:C30"/>
    <mergeCell ref="A31:B31"/>
    <mergeCell ref="C31:D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101" stopIfTrue="1">
      <formula>OR('賃金台帳(12)'!#REF!&gt;=1501000,$G$26&gt;=1501000,$L$26&gt;=1501000,$P$26&gt;=1501000,'賃金台帳(12)'!#REF!&gt;=1501000)</formula>
    </cfRule>
  </conditionalFormatting>
  <conditionalFormatting sqref="Q47:U47">
    <cfRule type="expression" priority="5" dxfId="102" stopIfTrue="1">
      <formula>IF(OR($G$26&gt;=1501000,$L$26&gt;=1501000,$P$26&gt;=150100,$L$26&gt;=1501000,$P$26&gt;=1501000),"標準賞与上限：月間150万円超のため150万円で計算","")</formula>
    </cfRule>
  </conditionalFormatting>
  <conditionalFormatting sqref="L41:L42 L38 L36 R38 R36">
    <cfRule type="expression" priority="2" dxfId="101" stopIfTrue="1">
      <formula>$L$26&gt;=1501000</formula>
    </cfRule>
  </conditionalFormatting>
  <conditionalFormatting sqref="H41:H42 H38 H36">
    <cfRule type="expression" priority="3" dxfId="101" stopIfTrue="1">
      <formula>$H$26&gt;=1501000</formula>
    </cfRule>
  </conditionalFormatting>
  <conditionalFormatting sqref="R41:R42">
    <cfRule type="expression" priority="1" dxfId="101" stopIfTrue="1">
      <formula>$L$26&gt;=1501000</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174" customWidth="1"/>
    <col min="2" max="2" width="33.57421875" style="171" customWidth="1"/>
    <col min="3" max="3" width="33.57421875" style="171" hidden="1" customWidth="1"/>
    <col min="4" max="4" width="15.28125" style="170" hidden="1" customWidth="1"/>
    <col min="5" max="5" width="33.57421875" style="171" hidden="1" customWidth="1"/>
    <col min="6" max="6" width="33.57421875" style="169" hidden="1" customWidth="1"/>
    <col min="7" max="7" width="33.57421875" style="174" hidden="1" customWidth="1"/>
    <col min="8" max="9" width="0" style="169" hidden="1" customWidth="1"/>
    <col min="10" max="16384" width="33.57421875" style="169" customWidth="1"/>
  </cols>
  <sheetData>
    <row r="1" spans="1:9" ht="30.75" customHeight="1">
      <c r="A1" s="166" t="s">
        <v>161</v>
      </c>
      <c r="B1" s="167" t="s">
        <v>162</v>
      </c>
      <c r="C1" s="167" t="str">
        <f>CONCATENATE(A1,B1)</f>
        <v>中分類　コード内容</v>
      </c>
      <c r="D1" s="166" t="s">
        <v>163</v>
      </c>
      <c r="E1" s="167" t="s">
        <v>162</v>
      </c>
      <c r="F1" s="167" t="str">
        <f>CONCATENATE(D1,E1)</f>
        <v>全中分類コード内容</v>
      </c>
      <c r="G1" s="168" t="s">
        <v>164</v>
      </c>
      <c r="H1" s="166" t="str">
        <f>CONCATENATE(D1,I1)</f>
        <v>全中分類コード小分類</v>
      </c>
      <c r="I1" s="168" t="s">
        <v>165</v>
      </c>
    </row>
    <row r="2" spans="1:9" ht="30.75" customHeight="1">
      <c r="A2" s="170" t="s">
        <v>166</v>
      </c>
      <c r="B2" s="171" t="s">
        <v>167</v>
      </c>
      <c r="C2" s="172" t="str">
        <f>CONCATENATE(A2,B2)</f>
        <v>01　農業</v>
      </c>
      <c r="D2" s="173" t="s">
        <v>168</v>
      </c>
      <c r="E2" s="171" t="s">
        <v>167</v>
      </c>
      <c r="F2" s="171" t="str">
        <f>CONCATENATE(D2,E2)</f>
        <v>010000　農業</v>
      </c>
      <c r="G2" s="174" t="s">
        <v>169</v>
      </c>
      <c r="H2" s="171" t="str">
        <f>CONCATENATE(D2,I2)</f>
        <v>010000管理，補助的経済活動を行う事業所（01農業） </v>
      </c>
      <c r="I2" s="169" t="s">
        <v>170</v>
      </c>
    </row>
    <row r="3" spans="1:9" ht="30.75" customHeight="1">
      <c r="A3" s="174" t="s">
        <v>171</v>
      </c>
      <c r="B3" s="171" t="s">
        <v>172</v>
      </c>
      <c r="C3" s="172" t="str">
        <f aca="true" t="shared" si="0" ref="C3:C66">CONCATENATE(A3,B3)</f>
        <v>02　林業</v>
      </c>
      <c r="D3" s="173" t="s">
        <v>173</v>
      </c>
      <c r="E3" s="171" t="s">
        <v>172</v>
      </c>
      <c r="F3" s="171" t="str">
        <f aca="true" t="shared" si="1" ref="F3:F66">CONCATENATE(D3,E3)</f>
        <v>020000　林業</v>
      </c>
      <c r="G3" s="174" t="s">
        <v>174</v>
      </c>
      <c r="H3" s="171" t="str">
        <f aca="true" t="shared" si="2" ref="H3:H66">CONCATENATE(D3,I3)</f>
        <v>020000管理，補助的経済活動を行う事業所（02林業） </v>
      </c>
      <c r="I3" s="169" t="s">
        <v>175</v>
      </c>
    </row>
    <row r="4" spans="1:9" ht="30.75" customHeight="1">
      <c r="A4" s="174" t="s">
        <v>176</v>
      </c>
      <c r="B4" s="171" t="s">
        <v>177</v>
      </c>
      <c r="C4" s="172" t="str">
        <f t="shared" si="0"/>
        <v>03　漁業（水産養殖業を除く）</v>
      </c>
      <c r="D4" s="173" t="s">
        <v>178</v>
      </c>
      <c r="E4" s="171" t="s">
        <v>177</v>
      </c>
      <c r="F4" s="171" t="str">
        <f t="shared" si="1"/>
        <v>030000　漁業（水産養殖業を除く）</v>
      </c>
      <c r="G4" s="174" t="s">
        <v>179</v>
      </c>
      <c r="H4" s="171" t="str">
        <f t="shared" si="2"/>
        <v>030000管理，補助的経済活動を行う事業所（03漁業） </v>
      </c>
      <c r="I4" s="169" t="s">
        <v>180</v>
      </c>
    </row>
    <row r="5" spans="1:9" ht="30.75" customHeight="1">
      <c r="A5" s="174" t="s">
        <v>181</v>
      </c>
      <c r="B5" s="171" t="s">
        <v>182</v>
      </c>
      <c r="C5" s="172" t="str">
        <f t="shared" si="0"/>
        <v>04　水産養殖業</v>
      </c>
      <c r="D5" s="173" t="s">
        <v>178</v>
      </c>
      <c r="E5" s="171" t="s">
        <v>182</v>
      </c>
      <c r="F5" s="171" t="str">
        <f t="shared" si="1"/>
        <v>030000　水産養殖業</v>
      </c>
      <c r="G5" s="174" t="s">
        <v>183</v>
      </c>
      <c r="H5" s="171" t="str">
        <f t="shared" si="2"/>
        <v>030000管理，補助的経済活動を行う事業所（04水産養殖業） </v>
      </c>
      <c r="I5" s="169" t="s">
        <v>184</v>
      </c>
    </row>
    <row r="6" spans="1:9" ht="30.75" customHeight="1">
      <c r="A6" s="174" t="s">
        <v>185</v>
      </c>
      <c r="B6" s="171" t="s">
        <v>186</v>
      </c>
      <c r="C6" s="172" t="str">
        <f t="shared" si="0"/>
        <v>05　鉱業，採石業，砂利採取業</v>
      </c>
      <c r="D6" s="173" t="s">
        <v>187</v>
      </c>
      <c r="E6" s="171" t="s">
        <v>188</v>
      </c>
      <c r="F6" s="171" t="str">
        <f t="shared" si="1"/>
        <v>040000　鉱業</v>
      </c>
      <c r="G6" s="174" t="s">
        <v>189</v>
      </c>
      <c r="H6" s="171" t="str">
        <f t="shared" si="2"/>
        <v>040000管理，補助的経済活動を行う事業所（05鉱業，採石業，砂利採取業） </v>
      </c>
      <c r="I6" s="169" t="s">
        <v>190</v>
      </c>
    </row>
    <row r="7" spans="1:9" ht="30.75" customHeight="1">
      <c r="A7" s="174" t="s">
        <v>191</v>
      </c>
      <c r="B7" s="171" t="s">
        <v>192</v>
      </c>
      <c r="C7" s="172" t="str">
        <f t="shared" si="0"/>
        <v>06　総合工事業</v>
      </c>
      <c r="D7" s="173" t="s">
        <v>193</v>
      </c>
      <c r="E7" s="171" t="s">
        <v>192</v>
      </c>
      <c r="F7" s="171" t="str">
        <f t="shared" si="1"/>
        <v>050100　総合工事業</v>
      </c>
      <c r="G7" s="174" t="s">
        <v>194</v>
      </c>
      <c r="H7" s="171" t="str">
        <f t="shared" si="2"/>
        <v>050100管理，補助的経済活動を行う事業所（06総合工事業） </v>
      </c>
      <c r="I7" s="169" t="s">
        <v>195</v>
      </c>
    </row>
    <row r="8" spans="1:9" ht="30.75" customHeight="1">
      <c r="A8" s="174" t="s">
        <v>196</v>
      </c>
      <c r="B8" s="171" t="s">
        <v>197</v>
      </c>
      <c r="C8" s="172" t="str">
        <f t="shared" si="0"/>
        <v>07　職別工事業(設備工事業を除く)</v>
      </c>
      <c r="D8" s="173" t="s">
        <v>198</v>
      </c>
      <c r="E8" s="171" t="s">
        <v>197</v>
      </c>
      <c r="F8" s="171" t="str">
        <f t="shared" si="1"/>
        <v>050300　職別工事業(設備工事業を除く)</v>
      </c>
      <c r="G8" s="174" t="s">
        <v>199</v>
      </c>
      <c r="H8" s="171" t="str">
        <f t="shared" si="2"/>
        <v>050300管理，補助的経済活動を行う事業所（07職別工事業） </v>
      </c>
      <c r="I8" s="169" t="s">
        <v>200</v>
      </c>
    </row>
    <row r="9" spans="1:9" ht="30.75" customHeight="1">
      <c r="A9" s="174" t="s">
        <v>201</v>
      </c>
      <c r="B9" s="171" t="s">
        <v>202</v>
      </c>
      <c r="C9" s="172" t="str">
        <f t="shared" si="0"/>
        <v>08　設備工事業</v>
      </c>
      <c r="D9" s="173" t="s">
        <v>203</v>
      </c>
      <c r="E9" s="171" t="s">
        <v>202</v>
      </c>
      <c r="F9" s="171" t="str">
        <f t="shared" si="1"/>
        <v>050500　設備工事業</v>
      </c>
      <c r="G9" s="174" t="s">
        <v>204</v>
      </c>
      <c r="H9" s="171" t="str">
        <f t="shared" si="2"/>
        <v>050500管理，補助的経済活動を行う事業所（08設備工事業） </v>
      </c>
      <c r="I9" s="169" t="s">
        <v>205</v>
      </c>
    </row>
    <row r="10" spans="1:9" ht="30.75" customHeight="1">
      <c r="A10" s="174" t="s">
        <v>206</v>
      </c>
      <c r="B10" s="171" t="s">
        <v>207</v>
      </c>
      <c r="C10" s="172" t="str">
        <f t="shared" si="0"/>
        <v>09　食料品製造業</v>
      </c>
      <c r="D10" s="173" t="s">
        <v>208</v>
      </c>
      <c r="E10" s="171" t="s">
        <v>207</v>
      </c>
      <c r="F10" s="171" t="str">
        <f t="shared" si="1"/>
        <v>060100　食料品製造業</v>
      </c>
      <c r="G10" s="174" t="s">
        <v>209</v>
      </c>
      <c r="H10" s="171" t="str">
        <f t="shared" si="2"/>
        <v>060100管理，補助的経済活動を行う事業所（09食料品製造業） </v>
      </c>
      <c r="I10" s="169" t="s">
        <v>210</v>
      </c>
    </row>
    <row r="11" spans="1:9" ht="30.75" customHeight="1">
      <c r="A11" s="174" t="s">
        <v>211</v>
      </c>
      <c r="B11" s="171" t="s">
        <v>212</v>
      </c>
      <c r="C11" s="172" t="str">
        <f t="shared" si="0"/>
        <v>10　飲料・たばこ・飼料製造業</v>
      </c>
      <c r="D11" s="173" t="s">
        <v>213</v>
      </c>
      <c r="E11" s="171" t="s">
        <v>212</v>
      </c>
      <c r="F11" s="171" t="str">
        <f t="shared" si="1"/>
        <v>060300　飲料・たばこ・飼料製造業</v>
      </c>
      <c r="G11" s="174" t="s">
        <v>214</v>
      </c>
      <c r="H11" s="171" t="str">
        <f t="shared" si="2"/>
        <v>060300管理，補助的経済活動を行う事業所（10飲料・たばこ・飼料製造業） </v>
      </c>
      <c r="I11" s="169" t="s">
        <v>215</v>
      </c>
    </row>
    <row r="12" spans="1:9" ht="30.75" customHeight="1">
      <c r="A12" s="174" t="s">
        <v>216</v>
      </c>
      <c r="B12" s="171" t="s">
        <v>217</v>
      </c>
      <c r="C12" s="172" t="str">
        <f t="shared" si="0"/>
        <v>11　繊維工業</v>
      </c>
      <c r="D12" s="173" t="s">
        <v>218</v>
      </c>
      <c r="E12" s="171" t="s">
        <v>219</v>
      </c>
      <c r="F12" s="171" t="str">
        <f t="shared" si="1"/>
        <v>060500繊維工業（衣服、その他の繊維製品を除く）</v>
      </c>
      <c r="G12" s="174" t="s">
        <v>220</v>
      </c>
      <c r="H12" s="171" t="str">
        <f t="shared" si="2"/>
        <v>060500管理，補助的経済活動を行う事業所（11繊維工業） </v>
      </c>
      <c r="I12" s="169" t="s">
        <v>221</v>
      </c>
    </row>
    <row r="13" spans="1:9" ht="30.75" customHeight="1">
      <c r="A13" s="174" t="s">
        <v>222</v>
      </c>
      <c r="B13" s="171" t="s">
        <v>223</v>
      </c>
      <c r="C13" s="172" t="str">
        <f t="shared" si="0"/>
        <v>12　木材・木製品製造業（家具を除く）</v>
      </c>
      <c r="D13" s="173" t="s">
        <v>224</v>
      </c>
      <c r="E13" s="171" t="s">
        <v>223</v>
      </c>
      <c r="F13" s="171" t="str">
        <f t="shared" si="1"/>
        <v>060900　木材・木製品製造業（家具を除く）</v>
      </c>
      <c r="G13" s="174" t="s">
        <v>225</v>
      </c>
      <c r="H13" s="171" t="str">
        <f t="shared" si="2"/>
        <v>060900管理，補助的経済活動を行う事業所（12木材・木製品製造業） </v>
      </c>
      <c r="I13" s="169" t="s">
        <v>226</v>
      </c>
    </row>
    <row r="14" spans="1:9" ht="30.75" customHeight="1">
      <c r="A14" s="174" t="s">
        <v>227</v>
      </c>
      <c r="B14" s="171" t="s">
        <v>228</v>
      </c>
      <c r="C14" s="172" t="str">
        <f t="shared" si="0"/>
        <v>13　家具・装備品製造業</v>
      </c>
      <c r="D14" s="173" t="s">
        <v>229</v>
      </c>
      <c r="E14" s="171" t="s">
        <v>228</v>
      </c>
      <c r="F14" s="171" t="str">
        <f t="shared" si="1"/>
        <v>061100　家具・装備品製造業</v>
      </c>
      <c r="G14" s="174" t="s">
        <v>230</v>
      </c>
      <c r="H14" s="171" t="str">
        <f t="shared" si="2"/>
        <v>061100管理，補助的経済活動を行う事業所（13家具・装備品製造業） </v>
      </c>
      <c r="I14" s="169" t="s">
        <v>231</v>
      </c>
    </row>
    <row r="15" spans="1:9" ht="30.75" customHeight="1">
      <c r="A15" s="174" t="s">
        <v>232</v>
      </c>
      <c r="B15" s="171" t="s">
        <v>233</v>
      </c>
      <c r="C15" s="172" t="str">
        <f t="shared" si="0"/>
        <v>14　パルプ・紙・紙加工品製造業</v>
      </c>
      <c r="D15" s="173" t="s">
        <v>234</v>
      </c>
      <c r="E15" s="171" t="s">
        <v>233</v>
      </c>
      <c r="F15" s="171" t="str">
        <f t="shared" si="1"/>
        <v>061300　パルプ・紙・紙加工品製造業</v>
      </c>
      <c r="G15" s="174" t="s">
        <v>235</v>
      </c>
      <c r="H15" s="171" t="str">
        <f t="shared" si="2"/>
        <v>061300管理，補助的経済活動を行う事業所（14パルプ・紙・紙加工品製造業） </v>
      </c>
      <c r="I15" s="169" t="s">
        <v>236</v>
      </c>
    </row>
    <row r="16" spans="1:9" ht="30.75" customHeight="1">
      <c r="A16" s="174" t="s">
        <v>237</v>
      </c>
      <c r="B16" s="171" t="s">
        <v>238</v>
      </c>
      <c r="C16" s="172" t="str">
        <f t="shared" si="0"/>
        <v>15　印刷・同関連業</v>
      </c>
      <c r="D16" s="173" t="s">
        <v>239</v>
      </c>
      <c r="E16" s="171" t="s">
        <v>238</v>
      </c>
      <c r="F16" s="171" t="str">
        <f t="shared" si="1"/>
        <v>061500　印刷・同関連業</v>
      </c>
      <c r="G16" s="174" t="s">
        <v>240</v>
      </c>
      <c r="H16" s="171" t="str">
        <f t="shared" si="2"/>
        <v>061500管理，補助的経済活動を行う事業所（15印刷・同関連業） </v>
      </c>
      <c r="I16" s="169" t="s">
        <v>241</v>
      </c>
    </row>
    <row r="17" spans="1:9" ht="30.75" customHeight="1">
      <c r="A17" s="174" t="s">
        <v>242</v>
      </c>
      <c r="B17" s="171" t="s">
        <v>243</v>
      </c>
      <c r="C17" s="172" t="str">
        <f t="shared" si="0"/>
        <v>16　化学工業</v>
      </c>
      <c r="D17" s="173" t="s">
        <v>244</v>
      </c>
      <c r="E17" s="171" t="s">
        <v>243</v>
      </c>
      <c r="F17" s="171" t="str">
        <f t="shared" si="1"/>
        <v>061700　化学工業</v>
      </c>
      <c r="G17" s="174" t="s">
        <v>245</v>
      </c>
      <c r="H17" s="171" t="str">
        <f t="shared" si="2"/>
        <v>061700管理，補助的経済活動を行う事業所（16化学工業） </v>
      </c>
      <c r="I17" s="169" t="s">
        <v>246</v>
      </c>
    </row>
    <row r="18" spans="1:9" ht="30.75" customHeight="1">
      <c r="A18" s="174" t="s">
        <v>247</v>
      </c>
      <c r="B18" s="171" t="s">
        <v>248</v>
      </c>
      <c r="C18" s="172" t="str">
        <f t="shared" si="0"/>
        <v>17　石油製品・石炭製品製造業</v>
      </c>
      <c r="D18" s="173" t="s">
        <v>249</v>
      </c>
      <c r="E18" s="171" t="s">
        <v>248</v>
      </c>
      <c r="F18" s="171" t="str">
        <f t="shared" si="1"/>
        <v>061900　石油製品・石炭製品製造業</v>
      </c>
      <c r="G18" s="174" t="s">
        <v>250</v>
      </c>
      <c r="H18" s="171" t="str">
        <f t="shared" si="2"/>
        <v>061900管理，補助的経済活動を行う事業所（17石油製品・石炭製品製造業） </v>
      </c>
      <c r="I18" s="169" t="s">
        <v>251</v>
      </c>
    </row>
    <row r="19" spans="1:9" ht="30.75" customHeight="1">
      <c r="A19" s="174" t="s">
        <v>252</v>
      </c>
      <c r="B19" s="171" t="s">
        <v>253</v>
      </c>
      <c r="C19" s="172" t="str">
        <f t="shared" si="0"/>
        <v>18　プラスチック製品製造業（別掲を除く）</v>
      </c>
      <c r="D19" s="173" t="s">
        <v>254</v>
      </c>
      <c r="E19" s="171" t="s">
        <v>253</v>
      </c>
      <c r="F19" s="171" t="str">
        <f t="shared" si="1"/>
        <v>062100　プラスチック製品製造業（別掲を除く）</v>
      </c>
      <c r="G19" s="174" t="s">
        <v>255</v>
      </c>
      <c r="H19" s="171" t="str">
        <f t="shared" si="2"/>
        <v>062100管理，補助的経済活動を行う事業所（18プラスチック製品製造業） </v>
      </c>
      <c r="I19" s="169" t="s">
        <v>256</v>
      </c>
    </row>
    <row r="20" spans="1:9" ht="30.75" customHeight="1">
      <c r="A20" s="174" t="s">
        <v>257</v>
      </c>
      <c r="B20" s="171" t="s">
        <v>258</v>
      </c>
      <c r="C20" s="172" t="str">
        <f t="shared" si="0"/>
        <v>19　ゴム製品製造業</v>
      </c>
      <c r="D20" s="173" t="s">
        <v>259</v>
      </c>
      <c r="E20" s="171" t="s">
        <v>258</v>
      </c>
      <c r="F20" s="171" t="str">
        <f t="shared" si="1"/>
        <v>062300　ゴム製品製造業</v>
      </c>
      <c r="G20" s="174" t="s">
        <v>260</v>
      </c>
      <c r="H20" s="171" t="str">
        <f t="shared" si="2"/>
        <v>062300管理，補助的経済活動を行う事業所（19ゴム製品製造業） </v>
      </c>
      <c r="I20" s="169" t="s">
        <v>261</v>
      </c>
    </row>
    <row r="21" spans="1:9" ht="30.75" customHeight="1">
      <c r="A21" s="174" t="s">
        <v>262</v>
      </c>
      <c r="B21" s="171" t="s">
        <v>263</v>
      </c>
      <c r="C21" s="172" t="str">
        <f t="shared" si="0"/>
        <v>20　なめし革・同製品・毛皮製造業</v>
      </c>
      <c r="D21" s="173" t="s">
        <v>264</v>
      </c>
      <c r="E21" s="171" t="s">
        <v>263</v>
      </c>
      <c r="F21" s="171" t="str">
        <f t="shared" si="1"/>
        <v>062500　なめし革・同製品・毛皮製造業</v>
      </c>
      <c r="G21" s="174" t="s">
        <v>265</v>
      </c>
      <c r="H21" s="171" t="str">
        <f t="shared" si="2"/>
        <v>062500管理，補助的経済活動を行う事業所（20なめし革・同製品・毛皮製造業） </v>
      </c>
      <c r="I21" s="169" t="s">
        <v>266</v>
      </c>
    </row>
    <row r="22" spans="1:9" ht="30.75" customHeight="1">
      <c r="A22" s="174" t="s">
        <v>267</v>
      </c>
      <c r="B22" s="171" t="s">
        <v>268</v>
      </c>
      <c r="C22" s="172" t="str">
        <f t="shared" si="0"/>
        <v>21　窯業・土石製品製造業</v>
      </c>
      <c r="D22" s="173" t="s">
        <v>269</v>
      </c>
      <c r="E22" s="171" t="s">
        <v>268</v>
      </c>
      <c r="F22" s="171" t="str">
        <f t="shared" si="1"/>
        <v>062700　窯業・土石製品製造業</v>
      </c>
      <c r="G22" s="174" t="s">
        <v>270</v>
      </c>
      <c r="H22" s="171" t="str">
        <f t="shared" si="2"/>
        <v>062700管理，補助的経済活動を行う事業所（21窯業・土石製品製造業） </v>
      </c>
      <c r="I22" s="169" t="s">
        <v>271</v>
      </c>
    </row>
    <row r="23" spans="1:9" ht="30.75" customHeight="1">
      <c r="A23" s="174" t="s">
        <v>272</v>
      </c>
      <c r="B23" s="171" t="s">
        <v>273</v>
      </c>
      <c r="C23" s="172" t="str">
        <f t="shared" si="0"/>
        <v>22　鉄鋼業</v>
      </c>
      <c r="D23" s="173" t="s">
        <v>274</v>
      </c>
      <c r="E23" s="171" t="s">
        <v>273</v>
      </c>
      <c r="F23" s="171" t="str">
        <f t="shared" si="1"/>
        <v>062900　鉄鋼業</v>
      </c>
      <c r="G23" s="174" t="s">
        <v>275</v>
      </c>
      <c r="H23" s="171" t="str">
        <f t="shared" si="2"/>
        <v>062900管理，補助的経済活動を行う事業所（22鉄鋼業） </v>
      </c>
      <c r="I23" s="169" t="s">
        <v>276</v>
      </c>
    </row>
    <row r="24" spans="1:9" ht="30.75" customHeight="1">
      <c r="A24" s="174" t="s">
        <v>277</v>
      </c>
      <c r="B24" s="171" t="s">
        <v>278</v>
      </c>
      <c r="C24" s="172" t="str">
        <f t="shared" si="0"/>
        <v>23　非鉄金属製造業</v>
      </c>
      <c r="D24" s="173" t="s">
        <v>279</v>
      </c>
      <c r="E24" s="171" t="s">
        <v>278</v>
      </c>
      <c r="F24" s="171" t="str">
        <f t="shared" si="1"/>
        <v>063100　非鉄金属製造業</v>
      </c>
      <c r="G24" s="174" t="s">
        <v>280</v>
      </c>
      <c r="H24" s="171" t="str">
        <f t="shared" si="2"/>
        <v>063100管理，補助的経済活動を行う事業所（23非鉄金属製造業） </v>
      </c>
      <c r="I24" s="169" t="s">
        <v>281</v>
      </c>
    </row>
    <row r="25" spans="1:9" ht="30.75" customHeight="1">
      <c r="A25" s="174" t="s">
        <v>282</v>
      </c>
      <c r="B25" s="171" t="s">
        <v>283</v>
      </c>
      <c r="C25" s="172" t="str">
        <f t="shared" si="0"/>
        <v>24　金属製品製造業</v>
      </c>
      <c r="D25" s="173" t="s">
        <v>284</v>
      </c>
      <c r="E25" s="171" t="s">
        <v>283</v>
      </c>
      <c r="F25" s="171" t="str">
        <f t="shared" si="1"/>
        <v>063300　金属製品製造業</v>
      </c>
      <c r="G25" s="174" t="s">
        <v>285</v>
      </c>
      <c r="H25" s="171" t="str">
        <f t="shared" si="2"/>
        <v>063300管理，補助的経済活動を行う事業所（24金属製品製造業） </v>
      </c>
      <c r="I25" s="169" t="s">
        <v>286</v>
      </c>
    </row>
    <row r="26" spans="1:9" ht="30.75" customHeight="1">
      <c r="A26" s="174" t="s">
        <v>287</v>
      </c>
      <c r="B26" s="171" t="s">
        <v>288</v>
      </c>
      <c r="C26" s="172" t="str">
        <f t="shared" si="0"/>
        <v>25　はん用機械器具製造業</v>
      </c>
      <c r="D26" s="173" t="s">
        <v>289</v>
      </c>
      <c r="E26" s="171" t="s">
        <v>290</v>
      </c>
      <c r="F26" s="171" t="str">
        <f t="shared" si="1"/>
        <v>063500一般機械器具製造業　 </v>
      </c>
      <c r="G26" s="174" t="s">
        <v>291</v>
      </c>
      <c r="H26" s="171" t="str">
        <f t="shared" si="2"/>
        <v>063500管理，補助的経済活動を行う事業所（25はん用機械器具製造業） </v>
      </c>
      <c r="I26" s="169" t="s">
        <v>292</v>
      </c>
    </row>
    <row r="27" spans="1:9" ht="30.75" customHeight="1">
      <c r="A27" s="174" t="s">
        <v>293</v>
      </c>
      <c r="B27" s="171" t="s">
        <v>294</v>
      </c>
      <c r="C27" s="172" t="str">
        <f t="shared" si="0"/>
        <v>26　生産用機械器具製造業</v>
      </c>
      <c r="D27" s="173" t="s">
        <v>289</v>
      </c>
      <c r="E27" s="171" t="s">
        <v>290</v>
      </c>
      <c r="F27" s="171" t="str">
        <f t="shared" si="1"/>
        <v>063500一般機械器具製造業　 </v>
      </c>
      <c r="G27" s="174" t="s">
        <v>295</v>
      </c>
      <c r="H27" s="171" t="str">
        <f t="shared" si="2"/>
        <v>063500管理，補助的経済活動を行う事業所（26生産用機械器具製造業） </v>
      </c>
      <c r="I27" s="169" t="s">
        <v>296</v>
      </c>
    </row>
    <row r="28" spans="1:9" ht="30.75" customHeight="1">
      <c r="A28" s="174" t="s">
        <v>297</v>
      </c>
      <c r="B28" s="171" t="s">
        <v>298</v>
      </c>
      <c r="C28" s="172" t="str">
        <f t="shared" si="0"/>
        <v>27　業務用機械器具製造業</v>
      </c>
      <c r="D28" s="173" t="s">
        <v>299</v>
      </c>
      <c r="E28" s="171" t="s">
        <v>300</v>
      </c>
      <c r="F28" s="171" t="str">
        <f t="shared" si="1"/>
        <v>064500精密機械器具製造業   　</v>
      </c>
      <c r="G28" s="174" t="s">
        <v>301</v>
      </c>
      <c r="H28" s="171" t="str">
        <f t="shared" si="2"/>
        <v>064500管理，補助的経済活動を行う事業所（27業務用機械器具製造業） </v>
      </c>
      <c r="I28" s="169" t="s">
        <v>302</v>
      </c>
    </row>
    <row r="29" spans="1:9" ht="30.75" customHeight="1">
      <c r="A29" s="174" t="s">
        <v>303</v>
      </c>
      <c r="B29" s="171" t="s">
        <v>304</v>
      </c>
      <c r="C29" s="172" t="str">
        <f t="shared" si="0"/>
        <v>28　電子部品・デバイス製造業</v>
      </c>
      <c r="D29" s="173" t="s">
        <v>305</v>
      </c>
      <c r="E29" s="171" t="s">
        <v>306</v>
      </c>
      <c r="F29" s="171" t="str">
        <f t="shared" si="1"/>
        <v>064100　電子部品・デバイス・電子回路製造業</v>
      </c>
      <c r="G29" s="174" t="s">
        <v>307</v>
      </c>
      <c r="H29" s="171" t="str">
        <f t="shared" si="2"/>
        <v>064100管理，補助的経済活動を行う事業所（28電子部品・デバイス・電子回路製造業） </v>
      </c>
      <c r="I29" s="169" t="s">
        <v>308</v>
      </c>
    </row>
    <row r="30" spans="1:9" ht="30.75" customHeight="1">
      <c r="A30" s="174" t="s">
        <v>309</v>
      </c>
      <c r="B30" s="171" t="s">
        <v>310</v>
      </c>
      <c r="C30" s="172" t="str">
        <f t="shared" si="0"/>
        <v>29　電気機械器具製造業</v>
      </c>
      <c r="D30" s="173" t="s">
        <v>311</v>
      </c>
      <c r="E30" s="171" t="s">
        <v>310</v>
      </c>
      <c r="F30" s="171" t="str">
        <f t="shared" si="1"/>
        <v>063700　電気機械器具製造業</v>
      </c>
      <c r="G30" s="174" t="s">
        <v>312</v>
      </c>
      <c r="H30" s="171" t="str">
        <f t="shared" si="2"/>
        <v>063700管理，補助的経済活動を行う事業所（29電気機械器具製造業） </v>
      </c>
      <c r="I30" s="169" t="s">
        <v>313</v>
      </c>
    </row>
    <row r="31" spans="1:9" ht="30.75" customHeight="1">
      <c r="A31" s="174" t="s">
        <v>314</v>
      </c>
      <c r="B31" s="171" t="s">
        <v>315</v>
      </c>
      <c r="C31" s="172" t="str">
        <f t="shared" si="0"/>
        <v>30　情報通信機械器具製造業</v>
      </c>
      <c r="D31" s="173" t="s">
        <v>316</v>
      </c>
      <c r="E31" s="171" t="s">
        <v>315</v>
      </c>
      <c r="F31" s="171" t="str">
        <f t="shared" si="1"/>
        <v>063900　情報通信機械器具製造業</v>
      </c>
      <c r="G31" s="174" t="s">
        <v>317</v>
      </c>
      <c r="H31" s="171" t="str">
        <f t="shared" si="2"/>
        <v>063900管理，補助的経済活動を行う事業所（30情報通信機械器具製造業） </v>
      </c>
      <c r="I31" s="169" t="s">
        <v>318</v>
      </c>
    </row>
    <row r="32" spans="1:9" ht="30.75" customHeight="1">
      <c r="A32" s="174" t="s">
        <v>319</v>
      </c>
      <c r="B32" s="171" t="s">
        <v>320</v>
      </c>
      <c r="C32" s="172" t="str">
        <f t="shared" si="0"/>
        <v>31　輸送用機械器具製造業</v>
      </c>
      <c r="D32" s="173" t="s">
        <v>321</v>
      </c>
      <c r="E32" s="171" t="s">
        <v>320</v>
      </c>
      <c r="F32" s="171" t="str">
        <f t="shared" si="1"/>
        <v>064300　輸送用機械器具製造業</v>
      </c>
      <c r="G32" s="174" t="s">
        <v>322</v>
      </c>
      <c r="H32" s="171" t="str">
        <f t="shared" si="2"/>
        <v>064300管理，補助的経済活動を行う事業所（31輸送用機械器具製造業） </v>
      </c>
      <c r="I32" s="169" t="s">
        <v>323</v>
      </c>
    </row>
    <row r="33" spans="1:9" ht="30.75" customHeight="1">
      <c r="A33" s="174" t="s">
        <v>324</v>
      </c>
      <c r="B33" s="171" t="s">
        <v>325</v>
      </c>
      <c r="C33" s="172" t="str">
        <f t="shared" si="0"/>
        <v>32　その他の製造業</v>
      </c>
      <c r="D33" s="173" t="s">
        <v>326</v>
      </c>
      <c r="E33" s="171" t="s">
        <v>325</v>
      </c>
      <c r="F33" s="171" t="str">
        <f t="shared" si="1"/>
        <v>064700　その他の製造業</v>
      </c>
      <c r="G33" s="174" t="s">
        <v>327</v>
      </c>
      <c r="H33" s="171" t="str">
        <f t="shared" si="2"/>
        <v>064700管理，補助的経済活動を行う事業所（32その他の製造業） </v>
      </c>
      <c r="I33" s="169" t="s">
        <v>328</v>
      </c>
    </row>
    <row r="34" spans="1:9" ht="30.75" customHeight="1">
      <c r="A34" s="174" t="s">
        <v>324</v>
      </c>
      <c r="B34" s="171" t="s">
        <v>325</v>
      </c>
      <c r="C34" s="172" t="str">
        <f t="shared" si="0"/>
        <v>32　その他の製造業</v>
      </c>
      <c r="D34" s="173" t="s">
        <v>326</v>
      </c>
      <c r="E34" s="171" t="s">
        <v>325</v>
      </c>
      <c r="F34" s="171" t="str">
        <f t="shared" si="1"/>
        <v>064700　その他の製造業</v>
      </c>
      <c r="G34" s="174" t="s">
        <v>329</v>
      </c>
      <c r="H34" s="171" t="str">
        <f t="shared" si="2"/>
        <v>064700漆器製造業 </v>
      </c>
      <c r="I34" s="169" t="s">
        <v>330</v>
      </c>
    </row>
    <row r="35" spans="1:9" ht="30.75" customHeight="1">
      <c r="A35" s="174" t="s">
        <v>331</v>
      </c>
      <c r="B35" s="171" t="s">
        <v>332</v>
      </c>
      <c r="C35" s="172" t="str">
        <f t="shared" si="0"/>
        <v>33　電気業</v>
      </c>
      <c r="D35" s="173" t="s">
        <v>333</v>
      </c>
      <c r="E35" s="171" t="s">
        <v>332</v>
      </c>
      <c r="F35" s="171" t="str">
        <f t="shared" si="1"/>
        <v>070000　電気業</v>
      </c>
      <c r="G35" s="174" t="s">
        <v>334</v>
      </c>
      <c r="H35" s="171" t="str">
        <f t="shared" si="2"/>
        <v>070000管理，補助的経済活動を行う事業所（33電気業） </v>
      </c>
      <c r="I35" s="169" t="s">
        <v>335</v>
      </c>
    </row>
    <row r="36" spans="1:9" ht="30.75" customHeight="1">
      <c r="A36" s="174" t="s">
        <v>336</v>
      </c>
      <c r="B36" s="171" t="s">
        <v>337</v>
      </c>
      <c r="C36" s="172" t="str">
        <f t="shared" si="0"/>
        <v>34　ガス業</v>
      </c>
      <c r="D36" s="173" t="s">
        <v>333</v>
      </c>
      <c r="E36" s="171" t="s">
        <v>337</v>
      </c>
      <c r="F36" s="171" t="str">
        <f t="shared" si="1"/>
        <v>070000　ガス業</v>
      </c>
      <c r="G36" s="174" t="s">
        <v>338</v>
      </c>
      <c r="H36" s="171" t="str">
        <f t="shared" si="2"/>
        <v>070000管理，補助的経済活動を行う事業所（34ガス業） </v>
      </c>
      <c r="I36" s="169" t="s">
        <v>339</v>
      </c>
    </row>
    <row r="37" spans="1:9" ht="30.75" customHeight="1">
      <c r="A37" s="174" t="s">
        <v>340</v>
      </c>
      <c r="B37" s="171" t="s">
        <v>341</v>
      </c>
      <c r="C37" s="172" t="str">
        <f t="shared" si="0"/>
        <v>35　熱供給業</v>
      </c>
      <c r="D37" s="173" t="s">
        <v>333</v>
      </c>
      <c r="E37" s="171" t="s">
        <v>341</v>
      </c>
      <c r="F37" s="171" t="str">
        <f t="shared" si="1"/>
        <v>070000　熱供給業</v>
      </c>
      <c r="G37" s="174" t="s">
        <v>342</v>
      </c>
      <c r="H37" s="171" t="str">
        <f t="shared" si="2"/>
        <v>070000管理，補助的経済活動を行う事業所（35熱供給業） </v>
      </c>
      <c r="I37" s="169" t="s">
        <v>343</v>
      </c>
    </row>
    <row r="38" spans="1:9" ht="30.75" customHeight="1">
      <c r="A38" s="174" t="s">
        <v>344</v>
      </c>
      <c r="B38" s="171" t="s">
        <v>345</v>
      </c>
      <c r="C38" s="172" t="str">
        <f t="shared" si="0"/>
        <v>36　水道業</v>
      </c>
      <c r="D38" s="173" t="s">
        <v>333</v>
      </c>
      <c r="E38" s="171" t="s">
        <v>345</v>
      </c>
      <c r="F38" s="171" t="str">
        <f t="shared" si="1"/>
        <v>070000　水道業</v>
      </c>
      <c r="G38" s="174" t="s">
        <v>346</v>
      </c>
      <c r="H38" s="171" t="str">
        <f t="shared" si="2"/>
        <v>070000管理，補助的経済活動を行う事業所（36水道業） </v>
      </c>
      <c r="I38" s="169" t="s">
        <v>347</v>
      </c>
    </row>
    <row r="39" spans="1:9" ht="30.75" customHeight="1">
      <c r="A39" s="174" t="s">
        <v>348</v>
      </c>
      <c r="B39" s="171" t="s">
        <v>349</v>
      </c>
      <c r="C39" s="172" t="str">
        <f t="shared" si="0"/>
        <v>37　通信業</v>
      </c>
      <c r="D39" s="173" t="s">
        <v>350</v>
      </c>
      <c r="E39" s="171" t="s">
        <v>349</v>
      </c>
      <c r="F39" s="171" t="str">
        <f t="shared" si="1"/>
        <v>080100　通信業</v>
      </c>
      <c r="G39" s="174" t="s">
        <v>351</v>
      </c>
      <c r="H39" s="171" t="str">
        <f t="shared" si="2"/>
        <v>080100管理，補助的経済活動を行う事業所（37通信業） </v>
      </c>
      <c r="I39" s="169" t="s">
        <v>352</v>
      </c>
    </row>
    <row r="40" spans="1:9" ht="30.75" customHeight="1">
      <c r="A40" s="174" t="s">
        <v>353</v>
      </c>
      <c r="B40" s="171" t="s">
        <v>354</v>
      </c>
      <c r="C40" s="172" t="str">
        <f t="shared" si="0"/>
        <v>38　放送業</v>
      </c>
      <c r="D40" s="173" t="s">
        <v>355</v>
      </c>
      <c r="E40" s="171" t="s">
        <v>354</v>
      </c>
      <c r="F40" s="171" t="str">
        <f t="shared" si="1"/>
        <v>080300　放送業</v>
      </c>
      <c r="G40" s="174" t="s">
        <v>356</v>
      </c>
      <c r="H40" s="171" t="str">
        <f t="shared" si="2"/>
        <v>080300管理，補助的経済活動を行う事業所（38放送業） </v>
      </c>
      <c r="I40" s="169" t="s">
        <v>357</v>
      </c>
    </row>
    <row r="41" spans="1:9" ht="30.75" customHeight="1">
      <c r="A41" s="174" t="s">
        <v>358</v>
      </c>
      <c r="B41" s="171" t="s">
        <v>359</v>
      </c>
      <c r="C41" s="172" t="str">
        <f t="shared" si="0"/>
        <v>39　情報サービス業</v>
      </c>
      <c r="D41" s="173" t="s">
        <v>360</v>
      </c>
      <c r="E41" s="171" t="s">
        <v>359</v>
      </c>
      <c r="F41" s="171" t="str">
        <f t="shared" si="1"/>
        <v>080500　情報サービス業</v>
      </c>
      <c r="G41" s="174" t="s">
        <v>361</v>
      </c>
      <c r="H41" s="171" t="str">
        <f t="shared" si="2"/>
        <v>080500管理，補助的経済活動を行う事業所（39情報サービス業） </v>
      </c>
      <c r="I41" s="169" t="s">
        <v>362</v>
      </c>
    </row>
    <row r="42" spans="1:9" ht="30.75" customHeight="1">
      <c r="A42" s="174" t="s">
        <v>363</v>
      </c>
      <c r="B42" s="171" t="s">
        <v>364</v>
      </c>
      <c r="C42" s="172" t="str">
        <f t="shared" si="0"/>
        <v>40　インターネット附随サービス業</v>
      </c>
      <c r="D42" s="173" t="s">
        <v>365</v>
      </c>
      <c r="E42" s="171" t="s">
        <v>364</v>
      </c>
      <c r="F42" s="171" t="str">
        <f t="shared" si="1"/>
        <v>080700　インターネット附随サービス業</v>
      </c>
      <c r="G42" s="174" t="s">
        <v>366</v>
      </c>
      <c r="H42" s="171" t="str">
        <f t="shared" si="2"/>
        <v>080700管理，補助的経済活動を行う事業所（40インターネット附随サービス業） </v>
      </c>
      <c r="I42" s="169" t="s">
        <v>367</v>
      </c>
    </row>
    <row r="43" spans="1:9" ht="30.75" customHeight="1">
      <c r="A43" s="174" t="s">
        <v>368</v>
      </c>
      <c r="B43" s="171" t="s">
        <v>369</v>
      </c>
      <c r="C43" s="172" t="str">
        <f t="shared" si="0"/>
        <v>41　映像・音声・文字情報制作業</v>
      </c>
      <c r="D43" s="173" t="s">
        <v>370</v>
      </c>
      <c r="E43" s="171" t="s">
        <v>369</v>
      </c>
      <c r="F43" s="171" t="str">
        <f t="shared" si="1"/>
        <v>080900　映像・音声・文字情報制作業</v>
      </c>
      <c r="G43" s="174" t="s">
        <v>371</v>
      </c>
      <c r="H43" s="171" t="str">
        <f t="shared" si="2"/>
        <v>080900管理，補助的経済活動を行う事業所（41映像・音声・文字情報制作業） </v>
      </c>
      <c r="I43" s="169" t="s">
        <v>372</v>
      </c>
    </row>
    <row r="44" spans="1:9" ht="30.75" customHeight="1">
      <c r="A44" s="174" t="s">
        <v>373</v>
      </c>
      <c r="B44" s="171" t="s">
        <v>374</v>
      </c>
      <c r="C44" s="172" t="str">
        <f t="shared" si="0"/>
        <v>42　鉄道業</v>
      </c>
      <c r="D44" s="173" t="s">
        <v>375</v>
      </c>
      <c r="E44" s="171" t="s">
        <v>374</v>
      </c>
      <c r="F44" s="171" t="str">
        <f t="shared" si="1"/>
        <v>090000　鉄道業</v>
      </c>
      <c r="G44" s="174" t="s">
        <v>376</v>
      </c>
      <c r="H44" s="171" t="str">
        <f t="shared" si="2"/>
        <v>090000管理，補助的経済活動を行う事業所（42鉄道業） </v>
      </c>
      <c r="I44" s="169" t="s">
        <v>377</v>
      </c>
    </row>
    <row r="45" spans="1:9" ht="30.75" customHeight="1">
      <c r="A45" s="174" t="s">
        <v>373</v>
      </c>
      <c r="B45" s="171" t="s">
        <v>374</v>
      </c>
      <c r="C45" s="172" t="str">
        <f t="shared" si="0"/>
        <v>42　鉄道業</v>
      </c>
      <c r="D45" s="173" t="s">
        <v>375</v>
      </c>
      <c r="E45" s="171" t="s">
        <v>374</v>
      </c>
      <c r="F45" s="171" t="str">
        <f t="shared" si="1"/>
        <v>090000　鉄道業</v>
      </c>
      <c r="G45" s="174" t="s">
        <v>378</v>
      </c>
      <c r="H45" s="171" t="str">
        <f t="shared" si="2"/>
        <v>090000鉄道業 </v>
      </c>
      <c r="I45" s="169" t="s">
        <v>379</v>
      </c>
    </row>
    <row r="46" spans="1:9" ht="30.75" customHeight="1">
      <c r="A46" s="174" t="s">
        <v>380</v>
      </c>
      <c r="B46" s="171" t="s">
        <v>381</v>
      </c>
      <c r="C46" s="172" t="str">
        <f t="shared" si="0"/>
        <v>43　道路旅客運送業</v>
      </c>
      <c r="D46" s="173" t="s">
        <v>375</v>
      </c>
      <c r="E46" s="171" t="s">
        <v>381</v>
      </c>
      <c r="F46" s="171" t="str">
        <f t="shared" si="1"/>
        <v>090000　道路旅客運送業</v>
      </c>
      <c r="G46" s="174" t="s">
        <v>382</v>
      </c>
      <c r="H46" s="171" t="str">
        <f t="shared" si="2"/>
        <v>090000管理，補助的経済活動を行う事業所（43道路旅客運送業） </v>
      </c>
      <c r="I46" s="169" t="s">
        <v>383</v>
      </c>
    </row>
    <row r="47" spans="1:9" ht="30.75" customHeight="1">
      <c r="A47" s="174" t="s">
        <v>384</v>
      </c>
      <c r="B47" s="171" t="s">
        <v>385</v>
      </c>
      <c r="C47" s="172" t="str">
        <f t="shared" si="0"/>
        <v>44　道路貨物運送業</v>
      </c>
      <c r="D47" s="173" t="s">
        <v>375</v>
      </c>
      <c r="E47" s="171" t="s">
        <v>385</v>
      </c>
      <c r="F47" s="171" t="str">
        <f t="shared" si="1"/>
        <v>090000　道路貨物運送業</v>
      </c>
      <c r="G47" s="174" t="s">
        <v>386</v>
      </c>
      <c r="H47" s="171" t="str">
        <f t="shared" si="2"/>
        <v>090000管理，補助的経済活動を行う事業所（44道路貨物運送業） </v>
      </c>
      <c r="I47" s="169" t="s">
        <v>387</v>
      </c>
    </row>
    <row r="48" spans="1:9" ht="30.75" customHeight="1">
      <c r="A48" s="174" t="s">
        <v>388</v>
      </c>
      <c r="B48" s="171" t="s">
        <v>389</v>
      </c>
      <c r="C48" s="172" t="str">
        <f t="shared" si="0"/>
        <v>45　水運業</v>
      </c>
      <c r="D48" s="173" t="s">
        <v>375</v>
      </c>
      <c r="E48" s="171" t="s">
        <v>389</v>
      </c>
      <c r="F48" s="171" t="str">
        <f t="shared" si="1"/>
        <v>090000　水運業</v>
      </c>
      <c r="G48" s="174" t="s">
        <v>390</v>
      </c>
      <c r="H48" s="171" t="str">
        <f t="shared" si="2"/>
        <v>090000管理，補助的経済活動を行う事業所（45水運業） </v>
      </c>
      <c r="I48" s="169" t="s">
        <v>391</v>
      </c>
    </row>
    <row r="49" spans="1:9" ht="30.75" customHeight="1">
      <c r="A49" s="174" t="s">
        <v>392</v>
      </c>
      <c r="B49" s="171" t="s">
        <v>393</v>
      </c>
      <c r="C49" s="172" t="str">
        <f t="shared" si="0"/>
        <v>46　航空運輸業</v>
      </c>
      <c r="D49" s="173" t="s">
        <v>375</v>
      </c>
      <c r="E49" s="171" t="s">
        <v>393</v>
      </c>
      <c r="F49" s="171" t="str">
        <f t="shared" si="1"/>
        <v>090000　航空運輸業</v>
      </c>
      <c r="G49" s="174" t="s">
        <v>394</v>
      </c>
      <c r="H49" s="171" t="str">
        <f t="shared" si="2"/>
        <v>090000管理，補助的経済活動を行う事業所（46航空運輸業） </v>
      </c>
      <c r="I49" s="169" t="s">
        <v>395</v>
      </c>
    </row>
    <row r="50" spans="1:9" ht="30.75" customHeight="1">
      <c r="A50" s="174" t="s">
        <v>396</v>
      </c>
      <c r="B50" s="171" t="s">
        <v>397</v>
      </c>
      <c r="C50" s="172" t="str">
        <f t="shared" si="0"/>
        <v>47　倉庫業</v>
      </c>
      <c r="D50" s="173" t="s">
        <v>375</v>
      </c>
      <c r="E50" s="171" t="s">
        <v>397</v>
      </c>
      <c r="F50" s="171" t="str">
        <f t="shared" si="1"/>
        <v>090000　倉庫業</v>
      </c>
      <c r="G50" s="174" t="s">
        <v>398</v>
      </c>
      <c r="H50" s="171" t="str">
        <f t="shared" si="2"/>
        <v>090000管理，補助的経済活動を行う事業所（47倉庫業） </v>
      </c>
      <c r="I50" s="169" t="s">
        <v>399</v>
      </c>
    </row>
    <row r="51" spans="1:9" ht="30.75" customHeight="1">
      <c r="A51" s="174" t="s">
        <v>400</v>
      </c>
      <c r="B51" s="171" t="s">
        <v>401</v>
      </c>
      <c r="C51" s="172" t="str">
        <f t="shared" si="0"/>
        <v>48　運輸に附帯するサービス業</v>
      </c>
      <c r="D51" s="173" t="s">
        <v>375</v>
      </c>
      <c r="E51" s="171" t="s">
        <v>401</v>
      </c>
      <c r="F51" s="171" t="str">
        <f t="shared" si="1"/>
        <v>090000　運輸に附帯するサービス業</v>
      </c>
      <c r="G51" s="174" t="s">
        <v>402</v>
      </c>
      <c r="H51" s="171" t="str">
        <f t="shared" si="2"/>
        <v>090000管理，補助的経済活動を行う事業所（48運輸に附帯するサービス業） </v>
      </c>
      <c r="I51" s="169" t="s">
        <v>403</v>
      </c>
    </row>
    <row r="52" spans="1:9" ht="30.75" customHeight="1">
      <c r="A52" s="174" t="s">
        <v>404</v>
      </c>
      <c r="B52" s="171" t="s">
        <v>405</v>
      </c>
      <c r="C52" s="172" t="str">
        <f t="shared" si="0"/>
        <v>49　郵便業（信書便事業を含む）</v>
      </c>
      <c r="D52" s="173" t="s">
        <v>375</v>
      </c>
      <c r="E52" s="171" t="s">
        <v>405</v>
      </c>
      <c r="F52" s="171" t="str">
        <f t="shared" si="1"/>
        <v>090000　郵便業（信書便事業を含む）</v>
      </c>
      <c r="G52" s="174" t="s">
        <v>406</v>
      </c>
      <c r="H52" s="171" t="str">
        <f t="shared" si="2"/>
        <v>090000管理，補助的経済活動を行う事業所（49郵便業） </v>
      </c>
      <c r="I52" s="169" t="s">
        <v>407</v>
      </c>
    </row>
    <row r="53" spans="1:9" ht="30.75" customHeight="1">
      <c r="A53" s="174" t="s">
        <v>408</v>
      </c>
      <c r="B53" s="171" t="s">
        <v>409</v>
      </c>
      <c r="C53" s="172" t="str">
        <f t="shared" si="0"/>
        <v>50　各種商品卸売業</v>
      </c>
      <c r="D53" s="175" t="s">
        <v>410</v>
      </c>
      <c r="E53" s="171" t="s">
        <v>409</v>
      </c>
      <c r="F53" s="171" t="str">
        <f t="shared" si="1"/>
        <v>100100　各種商品卸売業</v>
      </c>
      <c r="G53" s="174" t="s">
        <v>411</v>
      </c>
      <c r="H53" s="171" t="str">
        <f t="shared" si="2"/>
        <v>100100管理，補助的経済活動を行う事業所（50各種商品卸売業） </v>
      </c>
      <c r="I53" s="169" t="s">
        <v>412</v>
      </c>
    </row>
    <row r="54" spans="1:9" ht="30.75" customHeight="1">
      <c r="A54" s="174" t="s">
        <v>413</v>
      </c>
      <c r="B54" s="171" t="s">
        <v>414</v>
      </c>
      <c r="C54" s="172" t="str">
        <f t="shared" si="0"/>
        <v>51　繊維・衣服等卸売業</v>
      </c>
      <c r="D54" s="175" t="s">
        <v>415</v>
      </c>
      <c r="E54" s="171" t="s">
        <v>414</v>
      </c>
      <c r="F54" s="171" t="str">
        <f t="shared" si="1"/>
        <v>100300　繊維・衣服等卸売業</v>
      </c>
      <c r="G54" s="174" t="s">
        <v>416</v>
      </c>
      <c r="H54" s="171" t="str">
        <f t="shared" si="2"/>
        <v>100300管理，補助的経済活動を行う事業所（51繊維・衣服等卸売業） </v>
      </c>
      <c r="I54" s="169" t="s">
        <v>417</v>
      </c>
    </row>
    <row r="55" spans="1:9" ht="30.75" customHeight="1">
      <c r="A55" s="174" t="s">
        <v>418</v>
      </c>
      <c r="B55" s="171" t="s">
        <v>419</v>
      </c>
      <c r="C55" s="172" t="str">
        <f t="shared" si="0"/>
        <v>52　飲食料品卸売業</v>
      </c>
      <c r="D55" s="175" t="s">
        <v>420</v>
      </c>
      <c r="E55" s="171" t="s">
        <v>419</v>
      </c>
      <c r="F55" s="171" t="str">
        <f t="shared" si="1"/>
        <v>100500　飲食料品卸売業</v>
      </c>
      <c r="G55" s="174" t="s">
        <v>421</v>
      </c>
      <c r="H55" s="171" t="str">
        <f t="shared" si="2"/>
        <v>100500管理，補助的経済活動を行う事業所（52飲食料品卸売業） </v>
      </c>
      <c r="I55" s="169" t="s">
        <v>422</v>
      </c>
    </row>
    <row r="56" spans="1:9" ht="30.75" customHeight="1">
      <c r="A56" s="174" t="s">
        <v>423</v>
      </c>
      <c r="B56" s="171" t="s">
        <v>424</v>
      </c>
      <c r="C56" s="172" t="str">
        <f t="shared" si="0"/>
        <v>53　建築材料，鉱物・金属材料等卸売業</v>
      </c>
      <c r="D56" s="175" t="s">
        <v>425</v>
      </c>
      <c r="E56" s="171" t="s">
        <v>424</v>
      </c>
      <c r="F56" s="171" t="str">
        <f t="shared" si="1"/>
        <v>100700　建築材料，鉱物・金属材料等卸売業</v>
      </c>
      <c r="G56" s="174" t="s">
        <v>426</v>
      </c>
      <c r="H56" s="171" t="str">
        <f t="shared" si="2"/>
        <v>100700管理，補助的経済活動を行う事業所（53建築材料，鉱物・金属材料等卸売業） </v>
      </c>
      <c r="I56" s="169" t="s">
        <v>427</v>
      </c>
    </row>
    <row r="57" spans="1:9" ht="30.75" customHeight="1">
      <c r="A57" s="174" t="s">
        <v>428</v>
      </c>
      <c r="B57" s="171" t="s">
        <v>429</v>
      </c>
      <c r="C57" s="172" t="str">
        <f t="shared" si="0"/>
        <v>54　機械器具卸売業</v>
      </c>
      <c r="D57" s="175" t="s">
        <v>430</v>
      </c>
      <c r="E57" s="171" t="s">
        <v>429</v>
      </c>
      <c r="F57" s="171" t="str">
        <f t="shared" si="1"/>
        <v>100900　機械器具卸売業</v>
      </c>
      <c r="G57" s="174" t="s">
        <v>431</v>
      </c>
      <c r="H57" s="171" t="str">
        <f t="shared" si="2"/>
        <v>100900管理，補助的経済活動を行う事業所（54機械器具卸売業） </v>
      </c>
      <c r="I57" s="169" t="s">
        <v>432</v>
      </c>
    </row>
    <row r="58" spans="1:9" ht="30.75" customHeight="1">
      <c r="A58" s="174" t="s">
        <v>433</v>
      </c>
      <c r="B58" s="171" t="s">
        <v>434</v>
      </c>
      <c r="C58" s="172" t="str">
        <f t="shared" si="0"/>
        <v>55　その他の卸売業</v>
      </c>
      <c r="D58" s="175" t="s">
        <v>435</v>
      </c>
      <c r="E58" s="171" t="s">
        <v>434</v>
      </c>
      <c r="F58" s="171" t="str">
        <f t="shared" si="1"/>
        <v>101100　その他の卸売業</v>
      </c>
      <c r="G58" s="174" t="s">
        <v>436</v>
      </c>
      <c r="H58" s="171" t="str">
        <f t="shared" si="2"/>
        <v>101100管理，補助的経済活動を行う事業所（55その他の卸売業） </v>
      </c>
      <c r="I58" s="169" t="s">
        <v>437</v>
      </c>
    </row>
    <row r="59" spans="1:9" ht="30.75" customHeight="1">
      <c r="A59" s="174" t="s">
        <v>438</v>
      </c>
      <c r="B59" s="171" t="s">
        <v>439</v>
      </c>
      <c r="C59" s="172" t="str">
        <f t="shared" si="0"/>
        <v>56　各種商品小売業</v>
      </c>
      <c r="D59" s="175" t="s">
        <v>440</v>
      </c>
      <c r="E59" s="171" t="s">
        <v>439</v>
      </c>
      <c r="F59" s="171" t="str">
        <f t="shared" si="1"/>
        <v>105100　各種商品小売業</v>
      </c>
      <c r="G59" s="174" t="s">
        <v>441</v>
      </c>
      <c r="H59" s="171" t="str">
        <f t="shared" si="2"/>
        <v>105100管理，補助的経済活動を行う事業所（56各種商品小売業） </v>
      </c>
      <c r="I59" s="169" t="s">
        <v>442</v>
      </c>
    </row>
    <row r="60" spans="1:9" ht="30.75" customHeight="1">
      <c r="A60" s="174" t="s">
        <v>443</v>
      </c>
      <c r="B60" s="171" t="s">
        <v>444</v>
      </c>
      <c r="C60" s="172" t="str">
        <f t="shared" si="0"/>
        <v>57　織物・衣服・身の回り品小売業</v>
      </c>
      <c r="D60" s="175" t="s">
        <v>445</v>
      </c>
      <c r="E60" s="171" t="s">
        <v>444</v>
      </c>
      <c r="F60" s="171" t="str">
        <f t="shared" si="1"/>
        <v>105300　織物・衣服・身の回り品小売業</v>
      </c>
      <c r="G60" s="174" t="s">
        <v>446</v>
      </c>
      <c r="H60" s="171" t="str">
        <f t="shared" si="2"/>
        <v>105300管理，補助的経済活動を行う事業所（57織物・衣服・身の回り品小売業） </v>
      </c>
      <c r="I60" s="169" t="s">
        <v>447</v>
      </c>
    </row>
    <row r="61" spans="1:9" ht="30.75" customHeight="1">
      <c r="A61" s="174" t="s">
        <v>448</v>
      </c>
      <c r="B61" s="171" t="s">
        <v>449</v>
      </c>
      <c r="C61" s="172" t="str">
        <f t="shared" si="0"/>
        <v>58　飲食料品小売業</v>
      </c>
      <c r="D61" s="175" t="s">
        <v>450</v>
      </c>
      <c r="E61" s="171" t="s">
        <v>449</v>
      </c>
      <c r="F61" s="171" t="str">
        <f t="shared" si="1"/>
        <v>105500　飲食料品小売業</v>
      </c>
      <c r="G61" s="174" t="s">
        <v>451</v>
      </c>
      <c r="H61" s="171" t="str">
        <f t="shared" si="2"/>
        <v>105500管理，補助的経済活動を行う事業所（58飲食料品小売業） </v>
      </c>
      <c r="I61" s="169" t="s">
        <v>452</v>
      </c>
    </row>
    <row r="62" spans="1:9" ht="30.75" customHeight="1">
      <c r="A62" s="174" t="s">
        <v>453</v>
      </c>
      <c r="B62" s="171" t="s">
        <v>454</v>
      </c>
      <c r="C62" s="172" t="str">
        <f t="shared" si="0"/>
        <v>59　機械器具小売業</v>
      </c>
      <c r="D62" s="175" t="s">
        <v>455</v>
      </c>
      <c r="E62" s="171" t="s">
        <v>456</v>
      </c>
      <c r="F62" s="171" t="str">
        <f t="shared" si="1"/>
        <v>105700自動車・自転車小売業   　　　　</v>
      </c>
      <c r="G62" s="174" t="s">
        <v>457</v>
      </c>
      <c r="H62" s="171" t="str">
        <f t="shared" si="2"/>
        <v>105700管理，補助的経済活動を行う事業所（59機械器具小売業） </v>
      </c>
      <c r="I62" s="169" t="s">
        <v>458</v>
      </c>
    </row>
    <row r="63" spans="1:9" ht="30.75" customHeight="1">
      <c r="A63" s="174" t="s">
        <v>459</v>
      </c>
      <c r="B63" s="171" t="s">
        <v>460</v>
      </c>
      <c r="C63" s="172" t="str">
        <f t="shared" si="0"/>
        <v>60　その他の小売業</v>
      </c>
      <c r="D63" s="175" t="s">
        <v>461</v>
      </c>
      <c r="E63" s="171" t="s">
        <v>462</v>
      </c>
      <c r="F63" s="171" t="str">
        <f t="shared" si="1"/>
        <v>105900家具・じゅう器・機械器具小売業</v>
      </c>
      <c r="G63" s="174" t="s">
        <v>463</v>
      </c>
      <c r="H63" s="171" t="str">
        <f t="shared" si="2"/>
        <v>105900管理，補助的経済活動を行う事業所（60その他の小売業） </v>
      </c>
      <c r="I63" s="169" t="s">
        <v>464</v>
      </c>
    </row>
    <row r="64" spans="1:9" ht="30.75" customHeight="1">
      <c r="A64" s="174" t="s">
        <v>465</v>
      </c>
      <c r="B64" s="171" t="s">
        <v>466</v>
      </c>
      <c r="C64" s="172" t="str">
        <f t="shared" si="0"/>
        <v>61　無店舗小売業</v>
      </c>
      <c r="D64" s="175" t="s">
        <v>467</v>
      </c>
      <c r="E64" s="171" t="s">
        <v>460</v>
      </c>
      <c r="F64" s="171" t="str">
        <f t="shared" si="1"/>
        <v>106100　その他の小売業</v>
      </c>
      <c r="G64" s="174" t="s">
        <v>468</v>
      </c>
      <c r="H64" s="171" t="str">
        <f t="shared" si="2"/>
        <v>106100管理，補助的経済活動を行う事業所（61無店舗小売業） </v>
      </c>
      <c r="I64" s="169" t="s">
        <v>469</v>
      </c>
    </row>
    <row r="65" spans="1:9" ht="30.75" customHeight="1">
      <c r="A65" s="174" t="s">
        <v>470</v>
      </c>
      <c r="B65" s="171" t="s">
        <v>471</v>
      </c>
      <c r="C65" s="172" t="str">
        <f t="shared" si="0"/>
        <v>62　銀行業</v>
      </c>
      <c r="D65" s="175" t="s">
        <v>472</v>
      </c>
      <c r="E65" s="171" t="s">
        <v>471</v>
      </c>
      <c r="F65" s="171" t="str">
        <f t="shared" si="1"/>
        <v>110000　銀行業</v>
      </c>
      <c r="G65" s="174" t="s">
        <v>473</v>
      </c>
      <c r="H65" s="171" t="str">
        <f t="shared" si="2"/>
        <v>110000管理，補助的経済活動を行う事業所（62銀行業） </v>
      </c>
      <c r="I65" s="169" t="s">
        <v>474</v>
      </c>
    </row>
    <row r="66" spans="1:9" ht="30.75" customHeight="1">
      <c r="A66" s="174" t="s">
        <v>475</v>
      </c>
      <c r="B66" s="171" t="s">
        <v>476</v>
      </c>
      <c r="C66" s="172" t="str">
        <f t="shared" si="0"/>
        <v>63　協同組織金融業</v>
      </c>
      <c r="D66" s="175" t="s">
        <v>472</v>
      </c>
      <c r="E66" s="171" t="s">
        <v>476</v>
      </c>
      <c r="F66" s="171" t="str">
        <f t="shared" si="1"/>
        <v>110000　協同組織金融業</v>
      </c>
      <c r="G66" s="174" t="s">
        <v>477</v>
      </c>
      <c r="H66" s="171" t="str">
        <f t="shared" si="2"/>
        <v>110000管理，補助的経済活動を行う事業所（63協同組織金融業） </v>
      </c>
      <c r="I66" s="169" t="s">
        <v>478</v>
      </c>
    </row>
    <row r="67" spans="1:9" ht="30.75" customHeight="1">
      <c r="A67" s="174">
        <v>64</v>
      </c>
      <c r="B67" s="171" t="s">
        <v>479</v>
      </c>
      <c r="C67" s="172" t="str">
        <f aca="true" t="shared" si="3" ref="C67:C97">CONCATENATE(A67,B67)</f>
        <v>64　貸金業，クレジットカード業等非預金信用機関</v>
      </c>
      <c r="D67" s="175" t="s">
        <v>472</v>
      </c>
      <c r="E67" s="171" t="s">
        <v>479</v>
      </c>
      <c r="F67" s="171" t="str">
        <f aca="true" t="shared" si="4" ref="F67:F97">CONCATENATE(D67,E67)</f>
        <v>110000　貸金業，クレジットカード業等非預金信用機関</v>
      </c>
      <c r="G67" s="174" t="s">
        <v>480</v>
      </c>
      <c r="H67" s="171" t="str">
        <f aca="true" t="shared" si="5" ref="H67:H97">CONCATENATE(D67,I67)</f>
        <v>110000管理，補助的経済活動を行う事業所（64貸金業，クレジットカード業等非預金信用機関） </v>
      </c>
      <c r="I67" s="169" t="s">
        <v>481</v>
      </c>
    </row>
    <row r="68" spans="1:9" ht="30.75" customHeight="1">
      <c r="A68" s="174" t="s">
        <v>482</v>
      </c>
      <c r="B68" s="171" t="s">
        <v>483</v>
      </c>
      <c r="C68" s="172" t="str">
        <f t="shared" si="3"/>
        <v>65　金融商品取引業，商品先物取引業</v>
      </c>
      <c r="D68" s="175" t="s">
        <v>472</v>
      </c>
      <c r="E68" s="171" t="s">
        <v>483</v>
      </c>
      <c r="F68" s="171" t="str">
        <f t="shared" si="4"/>
        <v>110000　金融商品取引業，商品先物取引業</v>
      </c>
      <c r="G68" s="174" t="s">
        <v>484</v>
      </c>
      <c r="H68" s="171" t="str">
        <f t="shared" si="5"/>
        <v>110000管理，補助的経済活動を行う事業所（65金融商品取引業，商品先物取引業） </v>
      </c>
      <c r="I68" s="169" t="s">
        <v>485</v>
      </c>
    </row>
    <row r="69" spans="1:9" ht="30.75" customHeight="1">
      <c r="A69" s="174" t="s">
        <v>486</v>
      </c>
      <c r="B69" s="171" t="s">
        <v>487</v>
      </c>
      <c r="C69" s="172" t="str">
        <f t="shared" si="3"/>
        <v>66　補助的金融業等</v>
      </c>
      <c r="D69" s="175" t="s">
        <v>472</v>
      </c>
      <c r="E69" s="171" t="s">
        <v>487</v>
      </c>
      <c r="F69" s="171" t="str">
        <f t="shared" si="4"/>
        <v>110000　補助的金融業等</v>
      </c>
      <c r="G69" s="174" t="s">
        <v>488</v>
      </c>
      <c r="H69" s="171" t="str">
        <f t="shared" si="5"/>
        <v>110000管理，補助的経済活動を行う事業所（66補助的金融業等） </v>
      </c>
      <c r="I69" s="169" t="s">
        <v>489</v>
      </c>
    </row>
    <row r="70" spans="1:9" ht="30.75" customHeight="1">
      <c r="A70" s="174" t="s">
        <v>490</v>
      </c>
      <c r="B70" s="171" t="s">
        <v>491</v>
      </c>
      <c r="C70" s="172" t="str">
        <f t="shared" si="3"/>
        <v>67　保険業（保険媒介代理業，保険サービス業を含む）</v>
      </c>
      <c r="D70" s="175" t="s">
        <v>472</v>
      </c>
      <c r="E70" s="171" t="s">
        <v>491</v>
      </c>
      <c r="F70" s="171" t="str">
        <f t="shared" si="4"/>
        <v>110000　保険業（保険媒介代理業，保険サービス業を含む）</v>
      </c>
      <c r="G70" s="174" t="s">
        <v>492</v>
      </c>
      <c r="H70" s="171" t="str">
        <f t="shared" si="5"/>
        <v>110000管理，補助的経済活動を行う事業所（67保険業） </v>
      </c>
      <c r="I70" s="169" t="s">
        <v>493</v>
      </c>
    </row>
    <row r="71" spans="1:9" ht="30.75" customHeight="1">
      <c r="A71" s="174" t="s">
        <v>494</v>
      </c>
      <c r="B71" s="171" t="s">
        <v>495</v>
      </c>
      <c r="C71" s="172" t="str">
        <f t="shared" si="3"/>
        <v>68　不動産取引業</v>
      </c>
      <c r="D71" s="175" t="s">
        <v>496</v>
      </c>
      <c r="E71" s="171" t="s">
        <v>495</v>
      </c>
      <c r="F71" s="171" t="str">
        <f t="shared" si="4"/>
        <v>120000　不動産取引業</v>
      </c>
      <c r="G71" s="174" t="s">
        <v>497</v>
      </c>
      <c r="H71" s="171" t="str">
        <f t="shared" si="5"/>
        <v>120000管理，補助的経済活動を行う事業所（68不動産取引業） </v>
      </c>
      <c r="I71" s="169" t="s">
        <v>498</v>
      </c>
    </row>
    <row r="72" spans="1:9" ht="30.75" customHeight="1">
      <c r="A72" s="174" t="s">
        <v>499</v>
      </c>
      <c r="B72" s="171" t="s">
        <v>500</v>
      </c>
      <c r="C72" s="172" t="str">
        <f t="shared" si="3"/>
        <v>69　不動産賃貸業・管理業</v>
      </c>
      <c r="D72" s="175" t="s">
        <v>496</v>
      </c>
      <c r="E72" s="171" t="s">
        <v>500</v>
      </c>
      <c r="F72" s="171" t="str">
        <f t="shared" si="4"/>
        <v>120000　不動産賃貸業・管理業</v>
      </c>
      <c r="G72" s="174" t="s">
        <v>501</v>
      </c>
      <c r="H72" s="171" t="str">
        <f t="shared" si="5"/>
        <v>120000管理，補助的経済活動を行う事業所（69不動産賃貸業・管理業） </v>
      </c>
      <c r="I72" s="169" t="s">
        <v>502</v>
      </c>
    </row>
    <row r="73" spans="1:9" ht="30.75" customHeight="1">
      <c r="A73" s="174" t="s">
        <v>503</v>
      </c>
      <c r="B73" s="171" t="s">
        <v>504</v>
      </c>
      <c r="C73" s="172" t="str">
        <f t="shared" si="3"/>
        <v>70　物品賃貸業</v>
      </c>
      <c r="D73" s="175" t="s">
        <v>505</v>
      </c>
      <c r="E73" s="171" t="s">
        <v>504</v>
      </c>
      <c r="F73" s="171" t="str">
        <f t="shared" si="4"/>
        <v>171700　物品賃貸業</v>
      </c>
      <c r="G73" s="174" t="s">
        <v>506</v>
      </c>
      <c r="H73" s="171" t="str">
        <f t="shared" si="5"/>
        <v>171700管理，補助的経済活動を行う事業所（70物品賃貸業） </v>
      </c>
      <c r="I73" s="169" t="s">
        <v>507</v>
      </c>
    </row>
    <row r="74" spans="1:9" ht="30.75" customHeight="1">
      <c r="A74" s="174" t="s">
        <v>508</v>
      </c>
      <c r="B74" s="171" t="s">
        <v>509</v>
      </c>
      <c r="C74" s="172" t="str">
        <f t="shared" si="3"/>
        <v>71　学術・開発研究機関</v>
      </c>
      <c r="D74" s="175" t="s">
        <v>510</v>
      </c>
      <c r="E74" s="171" t="s">
        <v>509</v>
      </c>
      <c r="F74" s="171" t="str">
        <f t="shared" si="4"/>
        <v>170300　学術・開発研究機関</v>
      </c>
      <c r="G74" s="174" t="s">
        <v>511</v>
      </c>
      <c r="H74" s="171" t="str">
        <f t="shared" si="5"/>
        <v>170300管理，補助的経済活動を行う事業所（71学術・開発研究機関） </v>
      </c>
      <c r="I74" s="169" t="s">
        <v>512</v>
      </c>
    </row>
    <row r="75" spans="1:9" ht="30.75" customHeight="1">
      <c r="A75" s="174">
        <v>72</v>
      </c>
      <c r="B75" s="176" t="s">
        <v>513</v>
      </c>
      <c r="C75" s="172" t="str">
        <f t="shared" si="3"/>
        <v>72専門サービス業</v>
      </c>
      <c r="D75" s="175" t="s">
        <v>514</v>
      </c>
      <c r="E75" s="171" t="s">
        <v>513</v>
      </c>
      <c r="F75" s="171" t="str">
        <f t="shared" si="4"/>
        <v>170100専門サービス業</v>
      </c>
      <c r="G75" s="174" t="s">
        <v>515</v>
      </c>
      <c r="H75" s="171" t="str">
        <f t="shared" si="5"/>
        <v>170100管理，補助的経済活動を行う事業所（72専門サービス業） </v>
      </c>
      <c r="I75" s="169" t="s">
        <v>516</v>
      </c>
    </row>
    <row r="76" spans="1:9" ht="30.75" customHeight="1">
      <c r="A76" s="174">
        <v>73</v>
      </c>
      <c r="B76" s="176" t="s">
        <v>517</v>
      </c>
      <c r="C76" s="172" t="str">
        <f t="shared" si="3"/>
        <v>73広告業</v>
      </c>
      <c r="D76" s="175" t="s">
        <v>518</v>
      </c>
      <c r="E76" s="171" t="s">
        <v>519</v>
      </c>
      <c r="F76" s="171" t="str">
        <f t="shared" si="4"/>
        <v>171900　広告業</v>
      </c>
      <c r="G76" s="174" t="s">
        <v>520</v>
      </c>
      <c r="H76" s="171" t="str">
        <f t="shared" si="5"/>
        <v>171900管理，補助的経済活動を行う事業所（73広告業） </v>
      </c>
      <c r="I76" s="169" t="s">
        <v>521</v>
      </c>
    </row>
    <row r="77" spans="1:9" ht="30.75" customHeight="1">
      <c r="A77" s="174" t="s">
        <v>522</v>
      </c>
      <c r="B77" s="171" t="s">
        <v>523</v>
      </c>
      <c r="C77" s="172" t="str">
        <f t="shared" si="3"/>
        <v>74　技術サービス業（他に分類されないもの）</v>
      </c>
      <c r="D77" s="175" t="s">
        <v>514</v>
      </c>
      <c r="E77" s="176" t="s">
        <v>524</v>
      </c>
      <c r="F77" s="171" t="str">
        <f t="shared" si="4"/>
        <v>170100専門サービス業</v>
      </c>
      <c r="G77" s="174" t="s">
        <v>525</v>
      </c>
      <c r="H77" s="171" t="str">
        <f t="shared" si="5"/>
        <v>170100管理，補助的経済活動を行う事業所（74技術サービス業） </v>
      </c>
      <c r="I77" s="169" t="s">
        <v>526</v>
      </c>
    </row>
    <row r="78" spans="1:9" ht="30.75" customHeight="1">
      <c r="A78" s="174">
        <v>75</v>
      </c>
      <c r="B78" s="171" t="s">
        <v>527</v>
      </c>
      <c r="C78" s="172" t="str">
        <f t="shared" si="3"/>
        <v>75　宿泊業</v>
      </c>
      <c r="D78" s="175" t="s">
        <v>528</v>
      </c>
      <c r="E78" s="171" t="s">
        <v>527</v>
      </c>
      <c r="F78" s="171" t="str">
        <f t="shared" si="4"/>
        <v>130500　宿泊業</v>
      </c>
      <c r="G78" s="174" t="s">
        <v>529</v>
      </c>
      <c r="H78" s="171" t="str">
        <f t="shared" si="5"/>
        <v>130500管理，補助的経済活動を行う事業所（75宿泊業） </v>
      </c>
      <c r="I78" s="169" t="s">
        <v>530</v>
      </c>
    </row>
    <row r="79" spans="1:9" ht="30.75" customHeight="1">
      <c r="A79" s="174">
        <v>76</v>
      </c>
      <c r="B79" s="171" t="s">
        <v>531</v>
      </c>
      <c r="C79" s="172" t="str">
        <f t="shared" si="3"/>
        <v>76　飲食店</v>
      </c>
      <c r="D79" s="175" t="s">
        <v>532</v>
      </c>
      <c r="E79" s="171" t="s">
        <v>533</v>
      </c>
      <c r="F79" s="171" t="str">
        <f t="shared" si="4"/>
        <v>130100一般飲食店　</v>
      </c>
      <c r="G79" s="174" t="s">
        <v>534</v>
      </c>
      <c r="H79" s="171" t="str">
        <f t="shared" si="5"/>
        <v>130100管理，補助的経済活動を行う事業所（76飲食店） </v>
      </c>
      <c r="I79" s="169" t="s">
        <v>535</v>
      </c>
    </row>
    <row r="80" spans="1:9" ht="30.75" customHeight="1">
      <c r="A80" s="174" t="s">
        <v>536</v>
      </c>
      <c r="B80" s="171" t="s">
        <v>537</v>
      </c>
      <c r="C80" s="172" t="str">
        <f t="shared" si="3"/>
        <v>77　持ち帰り・配達飲食サービス業</v>
      </c>
      <c r="D80" s="175" t="s">
        <v>450</v>
      </c>
      <c r="E80" s="171" t="s">
        <v>449</v>
      </c>
      <c r="F80" s="171" t="str">
        <f t="shared" si="4"/>
        <v>105500　飲食料品小売業</v>
      </c>
      <c r="G80" s="174" t="s">
        <v>538</v>
      </c>
      <c r="H80" s="171" t="str">
        <f t="shared" si="5"/>
        <v>105500管理，補助的経済活動を行う事業所（77持ち帰り・配達飲食サービス業） </v>
      </c>
      <c r="I80" s="169" t="s">
        <v>539</v>
      </c>
    </row>
    <row r="81" spans="1:9" ht="30.75" customHeight="1">
      <c r="A81" s="174">
        <v>78</v>
      </c>
      <c r="B81" s="171" t="s">
        <v>540</v>
      </c>
      <c r="C81" s="172" t="str">
        <f t="shared" si="3"/>
        <v>78　洗濯・理容・美容・浴場業</v>
      </c>
      <c r="D81" s="175" t="s">
        <v>541</v>
      </c>
      <c r="E81" s="171" t="s">
        <v>540</v>
      </c>
      <c r="F81" s="171" t="str">
        <f t="shared" si="4"/>
        <v>170500　洗濯・理容・美容・浴場業</v>
      </c>
      <c r="G81" s="174" t="s">
        <v>542</v>
      </c>
      <c r="H81" s="171" t="str">
        <f t="shared" si="5"/>
        <v>170500管理，補助的経済活動を行う事業所（78洗濯・理容・美容・浴場業） </v>
      </c>
      <c r="I81" s="169" t="s">
        <v>543</v>
      </c>
    </row>
    <row r="82" spans="1:9" ht="30.75" customHeight="1">
      <c r="A82" s="174" t="s">
        <v>544</v>
      </c>
      <c r="B82" s="171" t="s">
        <v>545</v>
      </c>
      <c r="C82" s="172" t="str">
        <f t="shared" si="3"/>
        <v>79　その他の生活関連サービス業</v>
      </c>
      <c r="D82" s="175" t="s">
        <v>546</v>
      </c>
      <c r="E82" s="171" t="s">
        <v>545</v>
      </c>
      <c r="F82" s="171" t="str">
        <f t="shared" si="4"/>
        <v>170700　その他の生活関連サービス業</v>
      </c>
      <c r="G82" s="174" t="s">
        <v>547</v>
      </c>
      <c r="H82" s="171" t="str">
        <f t="shared" si="5"/>
        <v>170700管理，補助的経済活動を行う事業所（79その他の生活関連サービス業） </v>
      </c>
      <c r="I82" s="169" t="s">
        <v>548</v>
      </c>
    </row>
    <row r="83" spans="1:9" ht="30.75" customHeight="1">
      <c r="A83" s="174" t="s">
        <v>549</v>
      </c>
      <c r="B83" s="171" t="s">
        <v>550</v>
      </c>
      <c r="C83" s="172" t="str">
        <f t="shared" si="3"/>
        <v>80　娯楽業</v>
      </c>
      <c r="D83" s="175" t="s">
        <v>551</v>
      </c>
      <c r="E83" s="171" t="s">
        <v>550</v>
      </c>
      <c r="F83" s="171" t="str">
        <f t="shared" si="4"/>
        <v>170900　娯楽業</v>
      </c>
      <c r="G83" s="174" t="s">
        <v>552</v>
      </c>
      <c r="H83" s="171" t="str">
        <f t="shared" si="5"/>
        <v>170900管理，補助的経済活動を行う事業所（80娯楽業） </v>
      </c>
      <c r="I83" s="169" t="s">
        <v>553</v>
      </c>
    </row>
    <row r="84" spans="1:9" ht="30.75" customHeight="1">
      <c r="A84" s="174" t="s">
        <v>554</v>
      </c>
      <c r="B84" s="171" t="s">
        <v>555</v>
      </c>
      <c r="C84" s="172" t="str">
        <f t="shared" si="3"/>
        <v>81　学校教育</v>
      </c>
      <c r="D84" s="175" t="s">
        <v>556</v>
      </c>
      <c r="E84" s="171" t="s">
        <v>555</v>
      </c>
      <c r="F84" s="171" t="str">
        <f t="shared" si="4"/>
        <v>150000　学校教育</v>
      </c>
      <c r="G84" s="174" t="s">
        <v>557</v>
      </c>
      <c r="H84" s="171" t="str">
        <f t="shared" si="5"/>
        <v>150000管理，補助的経済活動を行う事業所（81学校教育） </v>
      </c>
      <c r="I84" s="169" t="s">
        <v>558</v>
      </c>
    </row>
    <row r="85" spans="1:9" ht="30.75" customHeight="1">
      <c r="A85" s="174">
        <v>82</v>
      </c>
      <c r="B85" s="171" t="s">
        <v>559</v>
      </c>
      <c r="C85" s="172" t="str">
        <f t="shared" si="3"/>
        <v>82　その他の教育，学習支援業</v>
      </c>
      <c r="D85" s="175" t="s">
        <v>556</v>
      </c>
      <c r="E85" s="171" t="s">
        <v>559</v>
      </c>
      <c r="F85" s="171" t="str">
        <f t="shared" si="4"/>
        <v>150000　その他の教育，学習支援業</v>
      </c>
      <c r="G85" s="174" t="s">
        <v>560</v>
      </c>
      <c r="H85" s="171" t="str">
        <f t="shared" si="5"/>
        <v>150000管理，補助的経済活動を行う事業所（82その他の教育，学習支援業） </v>
      </c>
      <c r="I85" s="169" t="s">
        <v>561</v>
      </c>
    </row>
    <row r="86" spans="1:9" ht="30.75" customHeight="1">
      <c r="A86" s="174" t="s">
        <v>562</v>
      </c>
      <c r="B86" s="171" t="s">
        <v>563</v>
      </c>
      <c r="C86" s="172" t="str">
        <f t="shared" si="3"/>
        <v>83　医療業</v>
      </c>
      <c r="D86" s="175" t="s">
        <v>564</v>
      </c>
      <c r="E86" s="171" t="s">
        <v>563</v>
      </c>
      <c r="F86" s="171" t="str">
        <f t="shared" si="4"/>
        <v>140100　医療業</v>
      </c>
      <c r="G86" s="174" t="s">
        <v>565</v>
      </c>
      <c r="H86" s="171" t="str">
        <f t="shared" si="5"/>
        <v>140100管理，補助的経済活動を行う事業所（83医療業） </v>
      </c>
      <c r="I86" s="169" t="s">
        <v>566</v>
      </c>
    </row>
    <row r="87" spans="1:9" ht="30.75" customHeight="1">
      <c r="A87" s="174" t="s">
        <v>567</v>
      </c>
      <c r="B87" s="171" t="s">
        <v>568</v>
      </c>
      <c r="C87" s="172" t="str">
        <f t="shared" si="3"/>
        <v>84　保健衛生</v>
      </c>
      <c r="D87" s="175" t="s">
        <v>569</v>
      </c>
      <c r="E87" s="171" t="s">
        <v>568</v>
      </c>
      <c r="F87" s="171" t="str">
        <f t="shared" si="4"/>
        <v>140300　保健衛生</v>
      </c>
      <c r="G87" s="174" t="s">
        <v>570</v>
      </c>
      <c r="H87" s="171" t="str">
        <f t="shared" si="5"/>
        <v>140300管理，補助的経済活動を行う事業所（84保健衛生） </v>
      </c>
      <c r="I87" s="169" t="s">
        <v>571</v>
      </c>
    </row>
    <row r="88" spans="1:9" ht="30.75" customHeight="1">
      <c r="A88" s="174" t="s">
        <v>572</v>
      </c>
      <c r="B88" s="171" t="s">
        <v>573</v>
      </c>
      <c r="C88" s="172" t="str">
        <f t="shared" si="3"/>
        <v>85　社会保険・社会福祉・介護事業</v>
      </c>
      <c r="D88" s="175" t="s">
        <v>574</v>
      </c>
      <c r="E88" s="171" t="s">
        <v>573</v>
      </c>
      <c r="F88" s="171" t="str">
        <f t="shared" si="4"/>
        <v>140500　社会保険・社会福祉・介護事業</v>
      </c>
      <c r="G88" s="174" t="s">
        <v>575</v>
      </c>
      <c r="H88" s="171" t="str">
        <f t="shared" si="5"/>
        <v>140500管理，補助的経済活動を行う事業所（85社会保険・社会福祉・介護事業） </v>
      </c>
      <c r="I88" s="169" t="s">
        <v>576</v>
      </c>
    </row>
    <row r="89" spans="1:9" ht="30.75" customHeight="1">
      <c r="A89" s="174" t="s">
        <v>577</v>
      </c>
      <c r="B89" s="171" t="s">
        <v>578</v>
      </c>
      <c r="C89" s="172" t="str">
        <f t="shared" si="3"/>
        <v>86　郵便局</v>
      </c>
      <c r="D89" s="175" t="s">
        <v>579</v>
      </c>
      <c r="E89" s="171" t="s">
        <v>578</v>
      </c>
      <c r="F89" s="171" t="str">
        <f t="shared" si="4"/>
        <v>160000　郵便局</v>
      </c>
      <c r="G89" s="174" t="s">
        <v>580</v>
      </c>
      <c r="H89" s="171" t="str">
        <f t="shared" si="5"/>
        <v>160000管理，補助的経済活動を行う事業所（86郵便局） </v>
      </c>
      <c r="I89" s="169" t="s">
        <v>581</v>
      </c>
    </row>
    <row r="90" spans="1:9" ht="30.75" customHeight="1">
      <c r="A90" s="174" t="s">
        <v>582</v>
      </c>
      <c r="B90" s="171" t="s">
        <v>583</v>
      </c>
      <c r="C90" s="172" t="str">
        <f t="shared" si="3"/>
        <v>87　協同組合（他に分類されないもの）</v>
      </c>
      <c r="D90" s="175" t="s">
        <v>579</v>
      </c>
      <c r="E90" s="171" t="s">
        <v>583</v>
      </c>
      <c r="F90" s="171" t="str">
        <f t="shared" si="4"/>
        <v>160000　協同組合（他に分類されないもの）</v>
      </c>
      <c r="G90" s="174" t="s">
        <v>584</v>
      </c>
      <c r="H90" s="171" t="str">
        <f t="shared" si="5"/>
        <v>160000管理，補助的経済活動を行う事業所（87協同組合） </v>
      </c>
      <c r="I90" s="169" t="s">
        <v>585</v>
      </c>
    </row>
    <row r="91" spans="1:9" ht="30.75" customHeight="1">
      <c r="A91" s="174" t="s">
        <v>586</v>
      </c>
      <c r="B91" s="171" t="s">
        <v>587</v>
      </c>
      <c r="C91" s="172" t="str">
        <f t="shared" si="3"/>
        <v>88　廃棄物処理業</v>
      </c>
      <c r="D91" s="175" t="s">
        <v>588</v>
      </c>
      <c r="E91" s="171" t="s">
        <v>587</v>
      </c>
      <c r="F91" s="171" t="str">
        <f t="shared" si="4"/>
        <v>171100　廃棄物処理業</v>
      </c>
      <c r="G91" s="174" t="s">
        <v>589</v>
      </c>
      <c r="H91" s="171" t="str">
        <f t="shared" si="5"/>
        <v>171100管理，補助的経済活動を行う事業所（88廃棄物処理業） </v>
      </c>
      <c r="I91" s="169" t="s">
        <v>590</v>
      </c>
    </row>
    <row r="92" spans="1:9" ht="30.75" customHeight="1">
      <c r="A92" s="174" t="s">
        <v>591</v>
      </c>
      <c r="B92" s="171" t="s">
        <v>592</v>
      </c>
      <c r="C92" s="172" t="str">
        <f t="shared" si="3"/>
        <v>89　自動車整備業</v>
      </c>
      <c r="D92" s="175" t="s">
        <v>593</v>
      </c>
      <c r="E92" s="171" t="s">
        <v>592</v>
      </c>
      <c r="F92" s="171" t="str">
        <f t="shared" si="4"/>
        <v>171300　自動車整備業</v>
      </c>
      <c r="G92" s="174" t="s">
        <v>594</v>
      </c>
      <c r="H92" s="171" t="str">
        <f t="shared" si="5"/>
        <v>171300管理，補助的経済活動を行う事業所（89自動車整備業） </v>
      </c>
      <c r="I92" s="169" t="s">
        <v>595</v>
      </c>
    </row>
    <row r="93" spans="1:9" ht="30.75" customHeight="1">
      <c r="A93" s="174" t="s">
        <v>596</v>
      </c>
      <c r="B93" s="171" t="s">
        <v>597</v>
      </c>
      <c r="C93" s="172" t="str">
        <f t="shared" si="3"/>
        <v>90　機械等修理業（別掲を除く）</v>
      </c>
      <c r="D93" s="175" t="s">
        <v>598</v>
      </c>
      <c r="E93" s="171" t="s">
        <v>597</v>
      </c>
      <c r="F93" s="171" t="str">
        <f t="shared" si="4"/>
        <v>171500　機械等修理業（別掲を除く）</v>
      </c>
      <c r="G93" s="174" t="s">
        <v>599</v>
      </c>
      <c r="H93" s="171" t="str">
        <f t="shared" si="5"/>
        <v>171500管理，補助的経済活動を行う事業所（90機械等修理業） </v>
      </c>
      <c r="I93" s="169" t="s">
        <v>600</v>
      </c>
    </row>
    <row r="94" spans="1:9" ht="30.75" customHeight="1">
      <c r="A94" s="174">
        <v>91</v>
      </c>
      <c r="B94" s="177" t="s">
        <v>601</v>
      </c>
      <c r="C94" s="172" t="str">
        <f t="shared" si="3"/>
        <v>91　職業紹介・労働者派遣業</v>
      </c>
      <c r="D94" s="175" t="s">
        <v>602</v>
      </c>
      <c r="E94" s="171" t="s">
        <v>603</v>
      </c>
      <c r="F94" s="171" t="str">
        <f t="shared" si="4"/>
        <v>172100　その他の事業サービス業</v>
      </c>
      <c r="G94" s="174" t="s">
        <v>604</v>
      </c>
      <c r="H94" s="171" t="str">
        <f t="shared" si="5"/>
        <v>172100管理，補助的経済活動を行う事業所（91職業紹介・労働者派遣業） </v>
      </c>
      <c r="I94" s="169" t="s">
        <v>605</v>
      </c>
    </row>
    <row r="95" spans="1:9" ht="30.75" customHeight="1">
      <c r="A95" s="174" t="s">
        <v>606</v>
      </c>
      <c r="B95" s="171" t="s">
        <v>603</v>
      </c>
      <c r="C95" s="172" t="str">
        <f t="shared" si="3"/>
        <v>92　その他の事業サービス業</v>
      </c>
      <c r="D95" s="175" t="s">
        <v>602</v>
      </c>
      <c r="E95" s="171" t="s">
        <v>603</v>
      </c>
      <c r="F95" s="171" t="str">
        <f t="shared" si="4"/>
        <v>172100　その他の事業サービス業</v>
      </c>
      <c r="G95" s="174" t="s">
        <v>607</v>
      </c>
      <c r="H95" s="171" t="str">
        <f t="shared" si="5"/>
        <v>172100管理，補助的経済活動を行う事業所（92その他の事業サービス業） </v>
      </c>
      <c r="I95" s="169" t="s">
        <v>608</v>
      </c>
    </row>
    <row r="96" spans="1:9" ht="30.75" customHeight="1">
      <c r="A96" s="174" t="s">
        <v>609</v>
      </c>
      <c r="B96" s="171" t="s">
        <v>610</v>
      </c>
      <c r="C96" s="172" t="str">
        <f t="shared" si="3"/>
        <v>93　政治・経済・文化団体</v>
      </c>
      <c r="D96" s="175" t="s">
        <v>611</v>
      </c>
      <c r="E96" s="171" t="s">
        <v>610</v>
      </c>
      <c r="F96" s="171" t="str">
        <f t="shared" si="4"/>
        <v>172300　政治・経済・文化団体</v>
      </c>
      <c r="G96" s="174" t="s">
        <v>612</v>
      </c>
      <c r="H96" s="171" t="str">
        <f t="shared" si="5"/>
        <v>172300経済団体 </v>
      </c>
      <c r="I96" s="169" t="s">
        <v>613</v>
      </c>
    </row>
    <row r="97" spans="1:9" ht="30.75" customHeight="1">
      <c r="A97" s="174" t="s">
        <v>614</v>
      </c>
      <c r="B97" s="171" t="s">
        <v>615</v>
      </c>
      <c r="C97" s="172" t="str">
        <f t="shared" si="3"/>
        <v>94　宗教</v>
      </c>
      <c r="D97" s="175" t="s">
        <v>611</v>
      </c>
      <c r="E97" s="171" t="s">
        <v>615</v>
      </c>
      <c r="F97" s="171" t="str">
        <f t="shared" si="4"/>
        <v>172300　宗教</v>
      </c>
      <c r="G97" s="174" t="s">
        <v>616</v>
      </c>
      <c r="H97" s="171" t="str">
        <f t="shared" si="5"/>
        <v>172300神道系宗教 </v>
      </c>
      <c r="I97" s="169" t="s">
        <v>617</v>
      </c>
    </row>
    <row r="98" spans="1:9" ht="30.75" customHeight="1">
      <c r="A98" s="174" t="s">
        <v>618</v>
      </c>
      <c r="B98" s="171" t="s">
        <v>619</v>
      </c>
      <c r="C98" s="172" t="str">
        <f>CONCATENATE(A98,B98)</f>
        <v>95　その他のサービス業</v>
      </c>
      <c r="D98" s="175" t="s">
        <v>611</v>
      </c>
      <c r="E98" s="171" t="s">
        <v>619</v>
      </c>
      <c r="F98" s="171" t="str">
        <f>CONCATENATE(D98,E98)</f>
        <v>172300　その他のサービス業</v>
      </c>
      <c r="G98" s="174" t="s">
        <v>620</v>
      </c>
      <c r="H98" s="171" t="str">
        <f>CONCATENATE(D98,I98)</f>
        <v>172300管理，補助的経済活動を行う事業所（95その他のサービス業） </v>
      </c>
      <c r="I98" s="169" t="s">
        <v>621</v>
      </c>
    </row>
    <row r="99" spans="1:9" ht="30.75" customHeight="1">
      <c r="A99" s="174" t="s">
        <v>622</v>
      </c>
      <c r="B99" s="171" t="s">
        <v>623</v>
      </c>
      <c r="C99" s="172" t="str">
        <f>CONCATENATE(A99,B99)</f>
        <v>96　外国公務</v>
      </c>
      <c r="D99" s="175" t="s">
        <v>611</v>
      </c>
      <c r="E99" s="171" t="s">
        <v>623</v>
      </c>
      <c r="F99" s="171" t="str">
        <f>CONCATENATE(D99,E99)</f>
        <v>172300　外国公務</v>
      </c>
      <c r="G99" s="174" t="s">
        <v>624</v>
      </c>
      <c r="H99" s="171" t="str">
        <f>CONCATENATE(D99,I99)</f>
        <v>172300外国公館 </v>
      </c>
      <c r="I99" s="169" t="s">
        <v>625</v>
      </c>
    </row>
    <row r="100" spans="1:9" ht="30.75" customHeight="1">
      <c r="A100" s="174">
        <v>97</v>
      </c>
      <c r="B100" s="171" t="s">
        <v>626</v>
      </c>
      <c r="C100" s="172" t="str">
        <f>CONCATENATE(A100,B100)</f>
        <v>97　国家公務</v>
      </c>
      <c r="D100" s="175" t="s">
        <v>611</v>
      </c>
      <c r="E100" s="171" t="s">
        <v>626</v>
      </c>
      <c r="F100" s="171" t="str">
        <f>CONCATENATE(D100,E100)</f>
        <v>172300　国家公務</v>
      </c>
      <c r="G100" s="174" t="s">
        <v>627</v>
      </c>
      <c r="H100" s="171" t="str">
        <f>CONCATENATE(D100,I100)</f>
        <v>172300立法機関 </v>
      </c>
      <c r="I100" s="169" t="s">
        <v>628</v>
      </c>
    </row>
    <row r="101" spans="1:9" ht="30.75" customHeight="1">
      <c r="A101" s="174" t="s">
        <v>629</v>
      </c>
      <c r="B101" s="171" t="s">
        <v>630</v>
      </c>
      <c r="C101" s="172" t="str">
        <f>CONCATENATE(A101,B101)</f>
        <v>98　地方公務</v>
      </c>
      <c r="D101" s="175" t="s">
        <v>611</v>
      </c>
      <c r="E101" s="171" t="s">
        <v>630</v>
      </c>
      <c r="F101" s="171" t="str">
        <f>CONCATENATE(D101,E101)</f>
        <v>172300　地方公務</v>
      </c>
      <c r="G101" s="174" t="s">
        <v>631</v>
      </c>
      <c r="H101" s="171" t="str">
        <f>CONCATENATE(D101,I101)</f>
        <v>172300都道府県機関 </v>
      </c>
      <c r="I101" s="169" t="s">
        <v>632</v>
      </c>
    </row>
    <row r="102" spans="1:9" ht="30.75" customHeight="1">
      <c r="A102" s="174" t="s">
        <v>633</v>
      </c>
      <c r="B102" s="171" t="s">
        <v>634</v>
      </c>
      <c r="C102" s="172" t="str">
        <f>CONCATENATE(A102,B102)</f>
        <v>99分類不能の産業</v>
      </c>
      <c r="D102" s="175" t="s">
        <v>635</v>
      </c>
      <c r="E102" s="171" t="s">
        <v>634</v>
      </c>
      <c r="F102" s="171" t="str">
        <f>CONCATENATE(D102,E102)</f>
        <v>990000分類不能の産業</v>
      </c>
      <c r="G102" s="174" t="s">
        <v>636</v>
      </c>
      <c r="H102" s="171" t="str">
        <f>CONCATENATE(D102,I102)</f>
        <v>990000分類不能の産業 </v>
      </c>
      <c r="I102" s="169" t="s">
        <v>637</v>
      </c>
    </row>
  </sheetData>
  <sheetProtection sheet="1" objects="1" scenario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8" bestFit="1" customWidth="1"/>
    <col min="19" max="16384" width="9.00390625" style="8" customWidth="1"/>
  </cols>
  <sheetData>
    <row r="2" ht="13.5">
      <c r="B2" s="767" t="s">
        <v>852</v>
      </c>
    </row>
    <row r="4" spans="1:6" ht="13.5" customHeight="1">
      <c r="A4" s="1050" t="s">
        <v>939</v>
      </c>
      <c r="B4" s="1050"/>
      <c r="C4" s="1050"/>
      <c r="D4" s="1050"/>
      <c r="E4" s="1050"/>
      <c r="F4" s="13"/>
    </row>
    <row r="5" spans="1:14" ht="13.5" customHeight="1">
      <c r="A5" s="80"/>
      <c r="B5" s="80"/>
      <c r="C5" s="80"/>
      <c r="D5" s="80"/>
      <c r="E5" s="435"/>
      <c r="F5" s="13"/>
      <c r="N5" s="80"/>
    </row>
    <row r="6" spans="1:14" ht="13.5" customHeight="1">
      <c r="A6" s="80"/>
      <c r="B6" s="80" t="s">
        <v>124</v>
      </c>
      <c r="C6" s="409" t="s">
        <v>32</v>
      </c>
      <c r="D6" s="80"/>
      <c r="E6" s="435"/>
      <c r="F6" s="410" t="s">
        <v>27</v>
      </c>
      <c r="N6" s="80"/>
    </row>
    <row r="7" spans="1:14" ht="13.5" customHeight="1">
      <c r="A7" s="80"/>
      <c r="B7" s="80"/>
      <c r="C7" s="80"/>
      <c r="D7" s="80"/>
      <c r="E7" s="435"/>
      <c r="F7" s="539" t="s">
        <v>796</v>
      </c>
      <c r="N7" s="80"/>
    </row>
    <row r="8" spans="1:15" ht="13.5" customHeight="1">
      <c r="A8" s="80"/>
      <c r="B8" s="80"/>
      <c r="C8" s="80"/>
      <c r="D8" s="80"/>
      <c r="E8" s="435"/>
      <c r="F8" s="13"/>
      <c r="M8" s="8" t="s">
        <v>36</v>
      </c>
      <c r="N8" s="80"/>
      <c r="O8" s="411"/>
    </row>
    <row r="9" spans="1:14" ht="13.5" customHeight="1">
      <c r="A9" s="80"/>
      <c r="F9" s="13"/>
      <c r="K9" s="9" t="s">
        <v>106</v>
      </c>
      <c r="L9" s="45" t="str">
        <f>IF('基本情報入力（使い方）'!$C$10="","",'基本情報入力（使い方）'!$C$10)</f>
        <v>Ｂ金属株式会社</v>
      </c>
      <c r="N9" s="80"/>
    </row>
    <row r="10" spans="1:14" ht="13.5" customHeight="1" thickBot="1">
      <c r="A10" s="80"/>
      <c r="F10" s="13"/>
      <c r="N10" s="80"/>
    </row>
    <row r="11" spans="1:17" ht="27" customHeight="1">
      <c r="A11" s="1051" t="s">
        <v>12</v>
      </c>
      <c r="B11" s="1053" t="s">
        <v>13</v>
      </c>
      <c r="C11" s="1053"/>
      <c r="D11" s="1054"/>
      <c r="E11" s="436" t="s">
        <v>14</v>
      </c>
      <c r="F11" s="10" t="s">
        <v>15</v>
      </c>
      <c r="G11" s="10" t="s">
        <v>16</v>
      </c>
      <c r="H11" s="404" t="s">
        <v>17</v>
      </c>
      <c r="I11" s="10" t="s">
        <v>6</v>
      </c>
      <c r="J11" s="10" t="s">
        <v>6</v>
      </c>
      <c r="K11" s="1053" t="s">
        <v>18</v>
      </c>
      <c r="L11" s="1054"/>
      <c r="M11" s="404" t="s">
        <v>768</v>
      </c>
      <c r="N11" s="1055" t="s">
        <v>12</v>
      </c>
      <c r="O11" s="1057" t="s">
        <v>123</v>
      </c>
      <c r="Q11" s="477" t="s">
        <v>769</v>
      </c>
    </row>
    <row r="12" spans="1:17" ht="42" customHeight="1" thickBot="1">
      <c r="A12" s="1052"/>
      <c r="B12" s="414" t="s">
        <v>20</v>
      </c>
      <c r="C12" s="414" t="s">
        <v>21</v>
      </c>
      <c r="D12" s="415" t="s">
        <v>22</v>
      </c>
      <c r="E12" s="437"/>
      <c r="F12" s="417"/>
      <c r="G12" s="402"/>
      <c r="H12" s="11"/>
      <c r="I12" s="402" t="s">
        <v>23</v>
      </c>
      <c r="J12" s="402" t="s">
        <v>41</v>
      </c>
      <c r="K12" s="178" t="s">
        <v>24</v>
      </c>
      <c r="L12" s="11" t="s">
        <v>39</v>
      </c>
      <c r="M12" s="11" t="s">
        <v>25</v>
      </c>
      <c r="N12" s="1056"/>
      <c r="O12" s="1058"/>
      <c r="Q12" s="478" t="s">
        <v>767</v>
      </c>
    </row>
    <row r="13" spans="1:18" ht="30.75" customHeight="1">
      <c r="A13" s="85">
        <v>1</v>
      </c>
      <c r="B13" s="1059"/>
      <c r="C13" s="1060"/>
      <c r="D13" s="1060"/>
      <c r="E13" s="383" t="s">
        <v>860</v>
      </c>
      <c r="F13" s="384" t="s">
        <v>861</v>
      </c>
      <c r="G13" s="660">
        <v>1</v>
      </c>
      <c r="H13" s="650" t="s">
        <v>862</v>
      </c>
      <c r="I13" s="632">
        <f>IF(J13="","",ROUNDDOWN(J13*(1+O13/100),0))</f>
        <v>4860000</v>
      </c>
      <c r="J13" s="634">
        <v>4500000</v>
      </c>
      <c r="K13" s="632">
        <f>IF(L13="","",ROUNDDOWN(L13*(1+O13/100),0))</f>
        <v>4860000</v>
      </c>
      <c r="L13" s="632">
        <f>IF(OR(J13="",G13=""),"",ROUNDDOWN(J13*G13,0))</f>
        <v>4500000</v>
      </c>
      <c r="M13" s="633">
        <f>L13</f>
        <v>4500000</v>
      </c>
      <c r="N13" s="444">
        <v>1</v>
      </c>
      <c r="O13" s="438">
        <v>8</v>
      </c>
      <c r="P13" s="8"/>
      <c r="Q13" s="479">
        <f>IF(M13="","",ROUNDDOWN(M13*2/3,0))</f>
        <v>3000000</v>
      </c>
      <c r="R13" s="8"/>
    </row>
    <row r="14" spans="1:18" ht="30.75" customHeight="1">
      <c r="A14" s="86">
        <v>2</v>
      </c>
      <c r="B14" s="1044"/>
      <c r="C14" s="1045"/>
      <c r="D14" s="1046"/>
      <c r="E14" s="384"/>
      <c r="F14" s="384"/>
      <c r="G14" s="661"/>
      <c r="H14" s="650"/>
      <c r="I14" s="632">
        <f aca="true" t="shared" si="0" ref="I14:I32">IF(J14="","",ROUNDDOWN(J14*(1+O14/100),0))</f>
      </c>
      <c r="J14" s="634"/>
      <c r="K14" s="632">
        <f aca="true" t="shared" si="1" ref="K14:K32">IF(L14="","",ROUNDDOWN(L14*(1+O14/100),0))</f>
      </c>
      <c r="L14" s="632">
        <f aca="true" t="shared" si="2" ref="L14:L32">IF(OR(J14="",G14=""),"",ROUNDDOWN(J14*G14,0))</f>
      </c>
      <c r="M14" s="633">
        <f aca="true" t="shared" si="3" ref="M14:M32">L14</f>
      </c>
      <c r="N14" s="444">
        <v>2</v>
      </c>
      <c r="O14" s="438">
        <v>8</v>
      </c>
      <c r="Q14" s="479">
        <f>IF(M14="","",ROUNDDOWN(M14*2/3,0))</f>
      </c>
      <c r="R14" s="43"/>
    </row>
    <row r="15" spans="1:18" ht="30.75" customHeight="1">
      <c r="A15" s="85">
        <v>3</v>
      </c>
      <c r="B15" s="1044"/>
      <c r="C15" s="1045"/>
      <c r="D15" s="1046"/>
      <c r="E15" s="385"/>
      <c r="F15" s="385"/>
      <c r="G15" s="660"/>
      <c r="H15" s="650"/>
      <c r="I15" s="632">
        <f t="shared" si="0"/>
      </c>
      <c r="J15" s="634"/>
      <c r="K15" s="632">
        <f t="shared" si="1"/>
      </c>
      <c r="L15" s="632">
        <f t="shared" si="2"/>
      </c>
      <c r="M15" s="633">
        <f t="shared" si="3"/>
      </c>
      <c r="N15" s="444">
        <v>3</v>
      </c>
      <c r="O15" s="438">
        <v>8</v>
      </c>
      <c r="P15" s="408"/>
      <c r="Q15" s="479">
        <f aca="true" t="shared" si="4" ref="Q15:Q32">IF(M15="","",ROUNDDOWN(M15*2/3,0))</f>
      </c>
      <c r="R15" s="43"/>
    </row>
    <row r="16" spans="1:18" s="77" customFormat="1" ht="30.75" customHeight="1">
      <c r="A16" s="86">
        <v>4</v>
      </c>
      <c r="B16" s="1044"/>
      <c r="C16" s="1045"/>
      <c r="D16" s="1046"/>
      <c r="E16" s="385"/>
      <c r="F16" s="385"/>
      <c r="G16" s="660"/>
      <c r="H16" s="650"/>
      <c r="I16" s="632">
        <f t="shared" si="0"/>
      </c>
      <c r="J16" s="634"/>
      <c r="K16" s="632">
        <f t="shared" si="1"/>
      </c>
      <c r="L16" s="632">
        <f t="shared" si="2"/>
      </c>
      <c r="M16" s="633">
        <f t="shared" si="3"/>
      </c>
      <c r="N16" s="444">
        <v>4</v>
      </c>
      <c r="O16" s="438">
        <v>8</v>
      </c>
      <c r="P16" s="408"/>
      <c r="Q16" s="479">
        <f t="shared" si="4"/>
      </c>
      <c r="R16" s="43"/>
    </row>
    <row r="17" spans="1:18" ht="30.75" customHeight="1">
      <c r="A17" s="85">
        <v>5</v>
      </c>
      <c r="B17" s="1044"/>
      <c r="C17" s="1045"/>
      <c r="D17" s="1046"/>
      <c r="E17" s="385"/>
      <c r="F17" s="385"/>
      <c r="G17" s="660"/>
      <c r="H17" s="650"/>
      <c r="I17" s="632">
        <f t="shared" si="0"/>
      </c>
      <c r="J17" s="634"/>
      <c r="K17" s="632">
        <f t="shared" si="1"/>
      </c>
      <c r="L17" s="632">
        <f t="shared" si="2"/>
      </c>
      <c r="M17" s="633">
        <f t="shared" si="3"/>
      </c>
      <c r="N17" s="444">
        <v>5</v>
      </c>
      <c r="O17" s="438">
        <v>8</v>
      </c>
      <c r="P17" s="408"/>
      <c r="Q17" s="479">
        <f t="shared" si="4"/>
      </c>
      <c r="R17" s="43"/>
    </row>
    <row r="18" spans="1:17" ht="30.75" customHeight="1">
      <c r="A18" s="86">
        <v>6</v>
      </c>
      <c r="B18" s="1044"/>
      <c r="C18" s="1045"/>
      <c r="D18" s="1046"/>
      <c r="E18" s="385"/>
      <c r="F18" s="385"/>
      <c r="G18" s="660"/>
      <c r="H18" s="650"/>
      <c r="I18" s="632">
        <f t="shared" si="0"/>
      </c>
      <c r="J18" s="634"/>
      <c r="K18" s="632">
        <f t="shared" si="1"/>
      </c>
      <c r="L18" s="632">
        <f t="shared" si="2"/>
      </c>
      <c r="M18" s="633">
        <f t="shared" si="3"/>
      </c>
      <c r="N18" s="444">
        <v>6</v>
      </c>
      <c r="O18" s="438">
        <v>8</v>
      </c>
      <c r="P18" s="408"/>
      <c r="Q18" s="479">
        <f t="shared" si="4"/>
      </c>
    </row>
    <row r="19" spans="1:17" ht="30.75" customHeight="1">
      <c r="A19" s="85">
        <v>7</v>
      </c>
      <c r="B19" s="1044"/>
      <c r="C19" s="1045"/>
      <c r="D19" s="1046"/>
      <c r="E19" s="385"/>
      <c r="F19" s="420"/>
      <c r="G19" s="660"/>
      <c r="H19" s="650"/>
      <c r="I19" s="632">
        <f t="shared" si="0"/>
      </c>
      <c r="J19" s="634"/>
      <c r="K19" s="632">
        <f t="shared" si="1"/>
      </c>
      <c r="L19" s="632">
        <f t="shared" si="2"/>
      </c>
      <c r="M19" s="633">
        <f t="shared" si="3"/>
      </c>
      <c r="N19" s="444">
        <v>7</v>
      </c>
      <c r="O19" s="438">
        <v>8</v>
      </c>
      <c r="P19" s="408"/>
      <c r="Q19" s="479">
        <f t="shared" si="4"/>
      </c>
    </row>
    <row r="20" spans="1:18" s="77" customFormat="1" ht="30.75" customHeight="1">
      <c r="A20" s="445">
        <v>8</v>
      </c>
      <c r="B20" s="1044"/>
      <c r="C20" s="1045"/>
      <c r="D20" s="1046"/>
      <c r="E20" s="385"/>
      <c r="F20" s="385"/>
      <c r="G20" s="660"/>
      <c r="H20" s="650"/>
      <c r="I20" s="632">
        <f t="shared" si="0"/>
      </c>
      <c r="J20" s="634"/>
      <c r="K20" s="632">
        <f t="shared" si="1"/>
      </c>
      <c r="L20" s="632">
        <f t="shared" si="2"/>
      </c>
      <c r="M20" s="633">
        <f t="shared" si="3"/>
      </c>
      <c r="N20" s="446">
        <v>8</v>
      </c>
      <c r="O20" s="438">
        <v>8</v>
      </c>
      <c r="P20" s="447"/>
      <c r="Q20" s="479">
        <f t="shared" si="4"/>
      </c>
      <c r="R20" s="448"/>
    </row>
    <row r="21" spans="1:17" ht="30.75" customHeight="1">
      <c r="A21" s="85">
        <v>9</v>
      </c>
      <c r="B21" s="1044"/>
      <c r="C21" s="1045"/>
      <c r="D21" s="1046"/>
      <c r="E21" s="385"/>
      <c r="F21" s="385"/>
      <c r="G21" s="660"/>
      <c r="H21" s="650"/>
      <c r="I21" s="632">
        <f t="shared" si="0"/>
      </c>
      <c r="J21" s="634"/>
      <c r="K21" s="632">
        <f t="shared" si="1"/>
      </c>
      <c r="L21" s="632">
        <f t="shared" si="2"/>
      </c>
      <c r="M21" s="633">
        <f t="shared" si="3"/>
      </c>
      <c r="N21" s="444">
        <v>9</v>
      </c>
      <c r="O21" s="438">
        <v>8</v>
      </c>
      <c r="Q21" s="479">
        <f t="shared" si="4"/>
      </c>
    </row>
    <row r="22" spans="1:17" ht="30.75" customHeight="1">
      <c r="A22" s="86">
        <v>10</v>
      </c>
      <c r="B22" s="1044"/>
      <c r="C22" s="1045"/>
      <c r="D22" s="1046"/>
      <c r="E22" s="385"/>
      <c r="F22" s="385"/>
      <c r="G22" s="660"/>
      <c r="H22" s="650"/>
      <c r="I22" s="632">
        <f t="shared" si="0"/>
      </c>
      <c r="J22" s="634"/>
      <c r="K22" s="632">
        <f t="shared" si="1"/>
      </c>
      <c r="L22" s="632">
        <f t="shared" si="2"/>
      </c>
      <c r="M22" s="633">
        <f t="shared" si="3"/>
      </c>
      <c r="N22" s="444">
        <v>10</v>
      </c>
      <c r="O22" s="438">
        <v>8</v>
      </c>
      <c r="Q22" s="479">
        <f t="shared" si="4"/>
      </c>
    </row>
    <row r="23" spans="1:17" ht="30.75" customHeight="1">
      <c r="A23" s="85">
        <v>11</v>
      </c>
      <c r="B23" s="1044"/>
      <c r="C23" s="1045"/>
      <c r="D23" s="1046"/>
      <c r="E23" s="385"/>
      <c r="F23" s="385"/>
      <c r="G23" s="660"/>
      <c r="H23" s="650"/>
      <c r="I23" s="632">
        <f t="shared" si="0"/>
      </c>
      <c r="J23" s="634"/>
      <c r="K23" s="632">
        <f t="shared" si="1"/>
      </c>
      <c r="L23" s="632">
        <f t="shared" si="2"/>
      </c>
      <c r="M23" s="633">
        <f t="shared" si="3"/>
      </c>
      <c r="N23" s="444">
        <v>11</v>
      </c>
      <c r="O23" s="438">
        <v>8</v>
      </c>
      <c r="Q23" s="479">
        <f t="shared" si="4"/>
      </c>
    </row>
    <row r="24" spans="1:17" ht="30.75" customHeight="1">
      <c r="A24" s="86">
        <v>12</v>
      </c>
      <c r="B24" s="1044"/>
      <c r="C24" s="1045"/>
      <c r="D24" s="1046"/>
      <c r="E24" s="385"/>
      <c r="F24" s="385"/>
      <c r="G24" s="660"/>
      <c r="H24" s="650"/>
      <c r="I24" s="632">
        <f t="shared" si="0"/>
      </c>
      <c r="J24" s="634"/>
      <c r="K24" s="632">
        <f t="shared" si="1"/>
      </c>
      <c r="L24" s="632">
        <f t="shared" si="2"/>
      </c>
      <c r="M24" s="633">
        <f t="shared" si="3"/>
      </c>
      <c r="N24" s="444">
        <v>12</v>
      </c>
      <c r="O24" s="438">
        <v>8</v>
      </c>
      <c r="Q24" s="479">
        <f t="shared" si="4"/>
      </c>
    </row>
    <row r="25" spans="1:17" ht="30.75" customHeight="1">
      <c r="A25" s="85">
        <v>13</v>
      </c>
      <c r="B25" s="1044"/>
      <c r="C25" s="1045"/>
      <c r="D25" s="1046"/>
      <c r="E25" s="385"/>
      <c r="F25" s="385"/>
      <c r="G25" s="660"/>
      <c r="H25" s="650"/>
      <c r="I25" s="632">
        <f t="shared" si="0"/>
      </c>
      <c r="J25" s="634"/>
      <c r="K25" s="632">
        <f t="shared" si="1"/>
      </c>
      <c r="L25" s="632">
        <f t="shared" si="2"/>
      </c>
      <c r="M25" s="633">
        <f t="shared" si="3"/>
      </c>
      <c r="N25" s="444">
        <v>13</v>
      </c>
      <c r="O25" s="438">
        <v>8</v>
      </c>
      <c r="Q25" s="479">
        <f t="shared" si="4"/>
      </c>
    </row>
    <row r="26" spans="1:17" ht="30.75" customHeight="1">
      <c r="A26" s="86">
        <v>14</v>
      </c>
      <c r="B26" s="1044"/>
      <c r="C26" s="1045"/>
      <c r="D26" s="1046"/>
      <c r="E26" s="386"/>
      <c r="F26" s="385"/>
      <c r="G26" s="660"/>
      <c r="H26" s="650"/>
      <c r="I26" s="632">
        <f t="shared" si="0"/>
      </c>
      <c r="J26" s="634"/>
      <c r="K26" s="632">
        <f t="shared" si="1"/>
      </c>
      <c r="L26" s="632">
        <f t="shared" si="2"/>
      </c>
      <c r="M26" s="633">
        <f t="shared" si="3"/>
      </c>
      <c r="N26" s="444">
        <v>14</v>
      </c>
      <c r="O26" s="438">
        <v>8</v>
      </c>
      <c r="Q26" s="479">
        <f t="shared" si="4"/>
      </c>
    </row>
    <row r="27" spans="1:17" ht="30.75" customHeight="1">
      <c r="A27" s="85">
        <v>15</v>
      </c>
      <c r="B27" s="1044"/>
      <c r="C27" s="1045"/>
      <c r="D27" s="1046"/>
      <c r="E27" s="386"/>
      <c r="F27" s="385"/>
      <c r="G27" s="660"/>
      <c r="H27" s="650"/>
      <c r="I27" s="632">
        <f t="shared" si="0"/>
      </c>
      <c r="J27" s="634"/>
      <c r="K27" s="632">
        <f t="shared" si="1"/>
      </c>
      <c r="L27" s="632">
        <f t="shared" si="2"/>
      </c>
      <c r="M27" s="633">
        <f t="shared" si="3"/>
      </c>
      <c r="N27" s="444">
        <v>15</v>
      </c>
      <c r="O27" s="438">
        <v>8</v>
      </c>
      <c r="Q27" s="479">
        <f t="shared" si="4"/>
      </c>
    </row>
    <row r="28" spans="1:17" ht="30.75" customHeight="1">
      <c r="A28" s="86">
        <v>16</v>
      </c>
      <c r="B28" s="1044"/>
      <c r="C28" s="1045"/>
      <c r="D28" s="1046"/>
      <c r="E28" s="385"/>
      <c r="F28" s="385"/>
      <c r="G28" s="660"/>
      <c r="H28" s="650"/>
      <c r="I28" s="632">
        <f t="shared" si="0"/>
      </c>
      <c r="J28" s="634"/>
      <c r="K28" s="632">
        <f t="shared" si="1"/>
      </c>
      <c r="L28" s="632">
        <f t="shared" si="2"/>
      </c>
      <c r="M28" s="633">
        <f t="shared" si="3"/>
      </c>
      <c r="N28" s="444">
        <v>16</v>
      </c>
      <c r="O28" s="438">
        <v>8</v>
      </c>
      <c r="Q28" s="479">
        <f t="shared" si="4"/>
      </c>
    </row>
    <row r="29" spans="1:17" ht="30.75" customHeight="1">
      <c r="A29" s="85">
        <v>17</v>
      </c>
      <c r="B29" s="1044"/>
      <c r="C29" s="1045"/>
      <c r="D29" s="1046"/>
      <c r="E29" s="385"/>
      <c r="F29" s="385"/>
      <c r="G29" s="660"/>
      <c r="H29" s="650"/>
      <c r="I29" s="632">
        <f t="shared" si="0"/>
      </c>
      <c r="J29" s="634"/>
      <c r="K29" s="632">
        <f t="shared" si="1"/>
      </c>
      <c r="L29" s="632">
        <f t="shared" si="2"/>
      </c>
      <c r="M29" s="633">
        <f t="shared" si="3"/>
      </c>
      <c r="N29" s="444">
        <v>17</v>
      </c>
      <c r="O29" s="438">
        <v>8</v>
      </c>
      <c r="Q29" s="479">
        <f t="shared" si="4"/>
      </c>
    </row>
    <row r="30" spans="1:17" ht="30.75" customHeight="1">
      <c r="A30" s="86">
        <v>18</v>
      </c>
      <c r="B30" s="1044"/>
      <c r="C30" s="1045"/>
      <c r="D30" s="1046"/>
      <c r="E30" s="385"/>
      <c r="F30" s="385"/>
      <c r="G30" s="660"/>
      <c r="H30" s="650"/>
      <c r="I30" s="632">
        <f t="shared" si="0"/>
      </c>
      <c r="J30" s="634"/>
      <c r="K30" s="632">
        <f t="shared" si="1"/>
      </c>
      <c r="L30" s="632">
        <f t="shared" si="2"/>
      </c>
      <c r="M30" s="633">
        <f t="shared" si="3"/>
      </c>
      <c r="N30" s="444">
        <v>18</v>
      </c>
      <c r="O30" s="438">
        <v>8</v>
      </c>
      <c r="Q30" s="479">
        <f t="shared" si="4"/>
      </c>
    </row>
    <row r="31" spans="1:17" ht="30.75" customHeight="1">
      <c r="A31" s="85">
        <v>19</v>
      </c>
      <c r="B31" s="1044"/>
      <c r="C31" s="1045"/>
      <c r="D31" s="1046"/>
      <c r="E31" s="386"/>
      <c r="F31" s="385"/>
      <c r="G31" s="660"/>
      <c r="H31" s="650"/>
      <c r="I31" s="632">
        <f t="shared" si="0"/>
      </c>
      <c r="J31" s="634"/>
      <c r="K31" s="632">
        <f t="shared" si="1"/>
      </c>
      <c r="L31" s="632">
        <f t="shared" si="2"/>
      </c>
      <c r="M31" s="633">
        <f t="shared" si="3"/>
      </c>
      <c r="N31" s="444">
        <v>19</v>
      </c>
      <c r="O31" s="438">
        <v>8</v>
      </c>
      <c r="Q31" s="479">
        <f t="shared" si="4"/>
      </c>
    </row>
    <row r="32" spans="1:17" ht="30.75" customHeight="1" thickBot="1">
      <c r="A32" s="159">
        <v>20</v>
      </c>
      <c r="B32" s="1047"/>
      <c r="C32" s="1048"/>
      <c r="D32" s="1049"/>
      <c r="E32" s="389"/>
      <c r="F32" s="389"/>
      <c r="G32" s="662"/>
      <c r="H32" s="651"/>
      <c r="I32" s="637">
        <f t="shared" si="0"/>
      </c>
      <c r="J32" s="649"/>
      <c r="K32" s="635">
        <f t="shared" si="1"/>
      </c>
      <c r="L32" s="635">
        <f t="shared" si="2"/>
      </c>
      <c r="M32" s="637">
        <f t="shared" si="3"/>
      </c>
      <c r="N32" s="449">
        <v>20</v>
      </c>
      <c r="O32" s="439">
        <v>8</v>
      </c>
      <c r="Q32" s="480">
        <f t="shared" si="4"/>
      </c>
    </row>
    <row r="33" spans="1:18" ht="21" customHeight="1" thickBot="1">
      <c r="A33" s="1061" t="s">
        <v>26</v>
      </c>
      <c r="B33" s="1062"/>
      <c r="C33" s="1062"/>
      <c r="D33" s="1062"/>
      <c r="E33" s="1062"/>
      <c r="F33" s="1062"/>
      <c r="G33" s="1062"/>
      <c r="H33" s="1062"/>
      <c r="I33" s="1062"/>
      <c r="J33" s="403"/>
      <c r="K33" s="644">
        <f>SUM(K13:K32)</f>
        <v>4860000</v>
      </c>
      <c r="L33" s="644">
        <f>SUM(L13:L32)</f>
        <v>4500000</v>
      </c>
      <c r="M33" s="645">
        <f>SUM(M13:M32)</f>
        <v>4500000</v>
      </c>
      <c r="N33" s="83"/>
      <c r="Q33" s="768">
        <f>SUM(Q13:Q32)</f>
        <v>3000000</v>
      </c>
      <c r="R33" s="769" t="s">
        <v>858</v>
      </c>
    </row>
    <row r="34" spans="1:20" ht="13.5" customHeight="1">
      <c r="A34" s="80"/>
      <c r="N34" s="80"/>
      <c r="R34" s="481"/>
      <c r="S34" s="482"/>
      <c r="T34" s="482"/>
    </row>
    <row r="35" spans="2:20" ht="13.5" customHeight="1">
      <c r="B35" s="8" t="s">
        <v>33</v>
      </c>
      <c r="D35" s="412"/>
      <c r="E35" s="401" t="s">
        <v>107</v>
      </c>
      <c r="H35" s="8"/>
      <c r="M35" s="423"/>
      <c r="N35" s="80"/>
      <c r="Q35" s="423"/>
      <c r="R35" s="481"/>
      <c r="S35" s="482"/>
      <c r="T35" s="482"/>
    </row>
    <row r="36" spans="1:20" s="401" customFormat="1" ht="13.5" customHeight="1">
      <c r="A36" s="13"/>
      <c r="B36" s="8"/>
      <c r="C36" s="8"/>
      <c r="D36" s="8"/>
      <c r="E36" s="401" t="s">
        <v>108</v>
      </c>
      <c r="G36" s="8"/>
      <c r="H36" s="8"/>
      <c r="I36" s="8"/>
      <c r="J36" s="8"/>
      <c r="K36" s="8"/>
      <c r="L36" s="8"/>
      <c r="N36" s="84"/>
      <c r="O36" s="13"/>
      <c r="P36" s="13"/>
      <c r="Q36" s="406"/>
      <c r="R36" s="481"/>
      <c r="S36" s="483"/>
      <c r="T36" s="483"/>
    </row>
    <row r="37" spans="1:20" s="401" customFormat="1" ht="13.5" customHeight="1">
      <c r="A37" s="13"/>
      <c r="B37" s="8" t="s">
        <v>34</v>
      </c>
      <c r="C37" s="8"/>
      <c r="D37" s="8"/>
      <c r="E37" s="401" t="s">
        <v>109</v>
      </c>
      <c r="G37" s="8"/>
      <c r="H37" s="8"/>
      <c r="I37" s="8"/>
      <c r="J37" s="8"/>
      <c r="K37" s="8"/>
      <c r="L37" s="8"/>
      <c r="M37" s="423"/>
      <c r="N37" s="13"/>
      <c r="O37" s="13"/>
      <c r="P37" s="13"/>
      <c r="Q37" s="423"/>
      <c r="R37" s="484"/>
      <c r="S37" s="483"/>
      <c r="T37" s="483"/>
    </row>
    <row r="38" spans="1:18" s="401" customFormat="1" ht="13.5" customHeight="1">
      <c r="A38" s="13"/>
      <c r="B38" s="8" t="s">
        <v>35</v>
      </c>
      <c r="C38" s="8"/>
      <c r="D38" s="8"/>
      <c r="E38" s="401" t="s">
        <v>110</v>
      </c>
      <c r="G38" s="8"/>
      <c r="H38" s="8"/>
      <c r="I38" s="8"/>
      <c r="J38" s="8"/>
      <c r="K38" s="8"/>
      <c r="L38" s="8"/>
      <c r="M38" s="423"/>
      <c r="N38" s="13"/>
      <c r="O38" s="13"/>
      <c r="P38" s="13"/>
      <c r="Q38" s="423"/>
      <c r="R38" s="327"/>
    </row>
    <row r="39" spans="13:17" ht="13.5">
      <c r="M39" s="75"/>
      <c r="Q39" s="75"/>
    </row>
  </sheetData>
  <sheetProtection sheet="1"/>
  <mergeCells count="27">
    <mergeCell ref="K11:L11"/>
    <mergeCell ref="N11:N12"/>
    <mergeCell ref="O11:O12"/>
    <mergeCell ref="B13:D13"/>
    <mergeCell ref="B14:D14"/>
    <mergeCell ref="A33:I33"/>
    <mergeCell ref="B18:D18"/>
    <mergeCell ref="B19:D19"/>
    <mergeCell ref="B20:D20"/>
    <mergeCell ref="B21:D21"/>
    <mergeCell ref="B27:D27"/>
    <mergeCell ref="A4:E4"/>
    <mergeCell ref="A11:A12"/>
    <mergeCell ref="B11:D11"/>
    <mergeCell ref="B15:D15"/>
    <mergeCell ref="B16:D16"/>
    <mergeCell ref="B17:D17"/>
    <mergeCell ref="B28:D28"/>
    <mergeCell ref="B29:D29"/>
    <mergeCell ref="B30:D30"/>
    <mergeCell ref="B31:D31"/>
    <mergeCell ref="B32:D32"/>
    <mergeCell ref="B22:D22"/>
    <mergeCell ref="B23:D23"/>
    <mergeCell ref="B24:D24"/>
    <mergeCell ref="B25:D25"/>
    <mergeCell ref="B26:D26"/>
  </mergeCells>
  <dataValidations count="4">
    <dataValidation allowBlank="1" showInputMessage="1" showErrorMessage="1" imeMode="halfAlpha" sqref="Q13:Q32 I13:M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基本情報入力（使い方）'!A4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8" bestFit="1" customWidth="1"/>
    <col min="19" max="16384" width="9.00390625" style="8" customWidth="1"/>
  </cols>
  <sheetData>
    <row r="1" ht="13.5"/>
    <row r="2" ht="13.5">
      <c r="B2" s="767" t="s">
        <v>852</v>
      </c>
    </row>
    <row r="3" ht="13.5"/>
    <row r="4" spans="1:6" ht="13.5" customHeight="1">
      <c r="A4" s="1050" t="s">
        <v>940</v>
      </c>
      <c r="B4" s="1050"/>
      <c r="C4" s="1050"/>
      <c r="D4" s="1050"/>
      <c r="E4" s="1050"/>
      <c r="F4" s="13"/>
    </row>
    <row r="5" spans="1:14" ht="13.5" customHeight="1">
      <c r="A5" s="80"/>
      <c r="B5" s="80"/>
      <c r="C5" s="80"/>
      <c r="D5" s="80"/>
      <c r="E5" s="435"/>
      <c r="F5" s="13"/>
      <c r="N5" s="80"/>
    </row>
    <row r="6" spans="1:14" ht="13.5" customHeight="1">
      <c r="A6" s="80"/>
      <c r="B6" s="80" t="s">
        <v>28</v>
      </c>
      <c r="C6" s="409" t="s">
        <v>32</v>
      </c>
      <c r="D6" s="80"/>
      <c r="E6" s="435"/>
      <c r="F6" s="410" t="s">
        <v>27</v>
      </c>
      <c r="N6" s="80"/>
    </row>
    <row r="7" spans="1:14" ht="13.5" customHeight="1">
      <c r="A7" s="80"/>
      <c r="B7" s="80"/>
      <c r="C7" s="80"/>
      <c r="D7" s="80"/>
      <c r="E7" s="435"/>
      <c r="F7" s="539" t="s">
        <v>797</v>
      </c>
      <c r="N7" s="80"/>
    </row>
    <row r="8" spans="1:15" ht="13.5" customHeight="1">
      <c r="A8" s="80"/>
      <c r="B8" s="80"/>
      <c r="C8" s="80"/>
      <c r="D8" s="80"/>
      <c r="E8" s="435"/>
      <c r="F8" s="13"/>
      <c r="M8" s="8" t="s">
        <v>36</v>
      </c>
      <c r="N8" s="80"/>
      <c r="O8" s="411"/>
    </row>
    <row r="9" spans="1:14" ht="13.5" customHeight="1">
      <c r="A9" s="80"/>
      <c r="F9" s="13"/>
      <c r="K9" s="9" t="s">
        <v>106</v>
      </c>
      <c r="L9" s="45" t="str">
        <f>IF('基本情報入力（使い方）'!$C$10="","",'基本情報入力（使い方）'!$C$10)</f>
        <v>Ｂ金属株式会社</v>
      </c>
      <c r="N9" s="80"/>
    </row>
    <row r="10" spans="1:14" ht="13.5" customHeight="1" thickBot="1">
      <c r="A10" s="80"/>
      <c r="F10" s="13"/>
      <c r="N10" s="80"/>
    </row>
    <row r="11" spans="1:17" ht="27" customHeight="1">
      <c r="A11" s="1051" t="s">
        <v>12</v>
      </c>
      <c r="B11" s="1053" t="s">
        <v>13</v>
      </c>
      <c r="C11" s="1053"/>
      <c r="D11" s="1054"/>
      <c r="E11" s="436" t="s">
        <v>14</v>
      </c>
      <c r="F11" s="10" t="s">
        <v>15</v>
      </c>
      <c r="G11" s="10" t="s">
        <v>16</v>
      </c>
      <c r="H11" s="404" t="s">
        <v>17</v>
      </c>
      <c r="I11" s="10" t="s">
        <v>6</v>
      </c>
      <c r="J11" s="10" t="s">
        <v>6</v>
      </c>
      <c r="K11" s="1053" t="s">
        <v>18</v>
      </c>
      <c r="L11" s="1054"/>
      <c r="M11" s="404" t="s">
        <v>19</v>
      </c>
      <c r="N11" s="1055" t="s">
        <v>12</v>
      </c>
      <c r="O11" s="1057" t="s">
        <v>123</v>
      </c>
      <c r="Q11" s="477" t="s">
        <v>769</v>
      </c>
    </row>
    <row r="12" spans="1:17" ht="42" customHeight="1" thickBot="1">
      <c r="A12" s="1052"/>
      <c r="B12" s="414" t="s">
        <v>20</v>
      </c>
      <c r="C12" s="414" t="s">
        <v>21</v>
      </c>
      <c r="D12" s="415" t="s">
        <v>22</v>
      </c>
      <c r="E12" s="437"/>
      <c r="F12" s="417"/>
      <c r="G12" s="402"/>
      <c r="H12" s="11"/>
      <c r="I12" s="402" t="s">
        <v>23</v>
      </c>
      <c r="J12" s="402" t="s">
        <v>41</v>
      </c>
      <c r="K12" s="178" t="s">
        <v>24</v>
      </c>
      <c r="L12" s="11" t="s">
        <v>39</v>
      </c>
      <c r="M12" s="11" t="s">
        <v>25</v>
      </c>
      <c r="N12" s="1056"/>
      <c r="O12" s="1058"/>
      <c r="Q12" s="478" t="s">
        <v>767</v>
      </c>
    </row>
    <row r="13" spans="1:18" ht="30.75" customHeight="1">
      <c r="A13" s="578">
        <v>1</v>
      </c>
      <c r="B13" s="1067"/>
      <c r="C13" s="1068"/>
      <c r="D13" s="1068"/>
      <c r="E13" s="383" t="s">
        <v>863</v>
      </c>
      <c r="F13" s="383" t="s">
        <v>864</v>
      </c>
      <c r="G13" s="664">
        <v>1</v>
      </c>
      <c r="H13" s="656" t="s">
        <v>862</v>
      </c>
      <c r="I13" s="633">
        <f aca="true" t="shared" si="0" ref="I13:I32">IF(J13="","",ROUNDDOWN(J13*(1+O13/100),0))</f>
        <v>432000</v>
      </c>
      <c r="J13" s="641">
        <v>400000</v>
      </c>
      <c r="K13" s="640">
        <f aca="true" t="shared" si="1" ref="K13:K18">IF(L13="","",ROUNDDOWN(L13*(1+O13/100),0))</f>
        <v>432000</v>
      </c>
      <c r="L13" s="640">
        <f aca="true" t="shared" si="2" ref="L13:L18">IF(OR(J13="",G13=""),"",ROUNDDOWN(J13*G13,0))</f>
        <v>400000</v>
      </c>
      <c r="M13" s="640">
        <f aca="true" t="shared" si="3" ref="M13:M18">L13</f>
        <v>400000</v>
      </c>
      <c r="N13" s="579">
        <v>2</v>
      </c>
      <c r="O13" s="580">
        <v>8</v>
      </c>
      <c r="P13" s="8"/>
      <c r="Q13" s="479">
        <f aca="true" t="shared" si="4" ref="Q13:Q18">IF(M13="","",ROUNDDOWN(M13*2/3,0))</f>
        <v>266666</v>
      </c>
      <c r="R13" s="8"/>
    </row>
    <row r="14" spans="1:18" ht="30.75" customHeight="1">
      <c r="A14" s="86">
        <v>2</v>
      </c>
      <c r="B14" s="1065"/>
      <c r="C14" s="1066"/>
      <c r="D14" s="1066"/>
      <c r="E14" s="385" t="s">
        <v>865</v>
      </c>
      <c r="F14" s="385" t="s">
        <v>866</v>
      </c>
      <c r="G14" s="661">
        <v>1</v>
      </c>
      <c r="H14" s="657" t="s">
        <v>862</v>
      </c>
      <c r="I14" s="633">
        <f t="shared" si="0"/>
        <v>432000</v>
      </c>
      <c r="J14" s="648">
        <v>400000</v>
      </c>
      <c r="K14" s="633">
        <f t="shared" si="1"/>
        <v>432000</v>
      </c>
      <c r="L14" s="633">
        <f t="shared" si="2"/>
        <v>400000</v>
      </c>
      <c r="M14" s="633">
        <f t="shared" si="3"/>
        <v>400000</v>
      </c>
      <c r="N14" s="581">
        <v>3</v>
      </c>
      <c r="O14" s="582">
        <v>8</v>
      </c>
      <c r="Q14" s="479">
        <f t="shared" si="4"/>
        <v>266666</v>
      </c>
      <c r="R14" s="43"/>
    </row>
    <row r="15" spans="1:18" ht="30.75" customHeight="1">
      <c r="A15" s="86">
        <v>3</v>
      </c>
      <c r="B15" s="1065"/>
      <c r="C15" s="1066"/>
      <c r="D15" s="1066"/>
      <c r="E15" s="385" t="s">
        <v>865</v>
      </c>
      <c r="F15" s="385" t="s">
        <v>867</v>
      </c>
      <c r="G15" s="661">
        <v>1</v>
      </c>
      <c r="H15" s="657" t="s">
        <v>862</v>
      </c>
      <c r="I15" s="633">
        <f t="shared" si="0"/>
        <v>432000</v>
      </c>
      <c r="J15" s="648">
        <v>400000</v>
      </c>
      <c r="K15" s="633">
        <f t="shared" si="1"/>
        <v>432000</v>
      </c>
      <c r="L15" s="633">
        <f t="shared" si="2"/>
        <v>400000</v>
      </c>
      <c r="M15" s="633">
        <f t="shared" si="3"/>
        <v>400000</v>
      </c>
      <c r="N15" s="581">
        <v>4</v>
      </c>
      <c r="O15" s="582">
        <v>8</v>
      </c>
      <c r="P15" s="408"/>
      <c r="Q15" s="479">
        <f t="shared" si="4"/>
        <v>266666</v>
      </c>
      <c r="R15" s="43"/>
    </row>
    <row r="16" spans="1:18" s="77" customFormat="1" ht="30.75" customHeight="1">
      <c r="A16" s="86">
        <v>4</v>
      </c>
      <c r="B16" s="1065"/>
      <c r="C16" s="1066"/>
      <c r="D16" s="1066"/>
      <c r="E16" s="385" t="s">
        <v>865</v>
      </c>
      <c r="F16" s="385" t="s">
        <v>868</v>
      </c>
      <c r="G16" s="661">
        <v>1</v>
      </c>
      <c r="H16" s="657" t="s">
        <v>862</v>
      </c>
      <c r="I16" s="633">
        <f t="shared" si="0"/>
        <v>432000</v>
      </c>
      <c r="J16" s="648">
        <v>400000</v>
      </c>
      <c r="K16" s="633">
        <f t="shared" si="1"/>
        <v>432000</v>
      </c>
      <c r="L16" s="633">
        <f t="shared" si="2"/>
        <v>400000</v>
      </c>
      <c r="M16" s="633">
        <f t="shared" si="3"/>
        <v>400000</v>
      </c>
      <c r="N16" s="581">
        <v>5</v>
      </c>
      <c r="O16" s="582">
        <v>8</v>
      </c>
      <c r="P16" s="408"/>
      <c r="Q16" s="479">
        <f t="shared" si="4"/>
        <v>266666</v>
      </c>
      <c r="R16" s="43"/>
    </row>
    <row r="17" spans="1:18" ht="30.75" customHeight="1">
      <c r="A17" s="86">
        <v>5</v>
      </c>
      <c r="B17" s="1065"/>
      <c r="C17" s="1066"/>
      <c r="D17" s="1066"/>
      <c r="E17" s="385" t="s">
        <v>865</v>
      </c>
      <c r="F17" s="385" t="s">
        <v>869</v>
      </c>
      <c r="G17" s="661">
        <v>1</v>
      </c>
      <c r="H17" s="657" t="s">
        <v>862</v>
      </c>
      <c r="I17" s="633">
        <f t="shared" si="0"/>
        <v>432000</v>
      </c>
      <c r="J17" s="648">
        <v>400000</v>
      </c>
      <c r="K17" s="633">
        <f t="shared" si="1"/>
        <v>432000</v>
      </c>
      <c r="L17" s="633">
        <f t="shared" si="2"/>
        <v>400000</v>
      </c>
      <c r="M17" s="633">
        <f t="shared" si="3"/>
        <v>400000</v>
      </c>
      <c r="N17" s="581">
        <v>6</v>
      </c>
      <c r="O17" s="582">
        <v>8</v>
      </c>
      <c r="P17" s="408"/>
      <c r="Q17" s="479">
        <f t="shared" si="4"/>
        <v>266666</v>
      </c>
      <c r="R17" s="43"/>
    </row>
    <row r="18" spans="1:17" ht="30.75" customHeight="1">
      <c r="A18" s="86">
        <v>6</v>
      </c>
      <c r="B18" s="1065"/>
      <c r="C18" s="1066"/>
      <c r="D18" s="1066"/>
      <c r="E18" s="385" t="s">
        <v>865</v>
      </c>
      <c r="F18" s="385" t="s">
        <v>870</v>
      </c>
      <c r="G18" s="661">
        <v>1</v>
      </c>
      <c r="H18" s="657" t="s">
        <v>862</v>
      </c>
      <c r="I18" s="633">
        <f t="shared" si="0"/>
        <v>432000</v>
      </c>
      <c r="J18" s="648">
        <v>400000</v>
      </c>
      <c r="K18" s="633">
        <f t="shared" si="1"/>
        <v>432000</v>
      </c>
      <c r="L18" s="633">
        <f t="shared" si="2"/>
        <v>400000</v>
      </c>
      <c r="M18" s="633">
        <f t="shared" si="3"/>
        <v>400000</v>
      </c>
      <c r="N18" s="581">
        <v>7</v>
      </c>
      <c r="O18" s="582">
        <v>8</v>
      </c>
      <c r="P18" s="408"/>
      <c r="Q18" s="479">
        <f t="shared" si="4"/>
        <v>266666</v>
      </c>
    </row>
    <row r="19" spans="1:17" ht="30.75" customHeight="1">
      <c r="A19" s="86">
        <v>7</v>
      </c>
      <c r="B19" s="1065"/>
      <c r="C19" s="1066"/>
      <c r="D19" s="1066"/>
      <c r="E19" s="385"/>
      <c r="F19" s="385"/>
      <c r="G19" s="661"/>
      <c r="H19" s="657"/>
      <c r="I19" s="633">
        <f t="shared" si="0"/>
      </c>
      <c r="J19" s="648"/>
      <c r="K19" s="633">
        <f aca="true" t="shared" si="5" ref="K19:K32">IF(L19="","",ROUNDDOWN(L19*(1+O19/100),0))</f>
      </c>
      <c r="L19" s="633">
        <f aca="true" t="shared" si="6" ref="L19:L32">IF(OR(J19="",G19=""),"",ROUNDDOWN(J19*G19,0))</f>
      </c>
      <c r="M19" s="633">
        <f aca="true" t="shared" si="7" ref="M19:M32">L19</f>
      </c>
      <c r="N19" s="581"/>
      <c r="O19" s="582">
        <v>8</v>
      </c>
      <c r="P19" s="408"/>
      <c r="Q19" s="479">
        <f aca="true" t="shared" si="8" ref="Q19:Q32">IF(M19="","",ROUNDDOWN(M19*2/3,0))</f>
      </c>
    </row>
    <row r="20" spans="1:18" s="77" customFormat="1" ht="30.75" customHeight="1">
      <c r="A20" s="445">
        <v>8</v>
      </c>
      <c r="B20" s="1065"/>
      <c r="C20" s="1066"/>
      <c r="D20" s="1066"/>
      <c r="E20" s="385"/>
      <c r="F20" s="385"/>
      <c r="G20" s="661"/>
      <c r="H20" s="657"/>
      <c r="I20" s="633">
        <f t="shared" si="0"/>
      </c>
      <c r="J20" s="648"/>
      <c r="K20" s="633">
        <f t="shared" si="5"/>
      </c>
      <c r="L20" s="633">
        <f t="shared" si="6"/>
      </c>
      <c r="M20" s="633">
        <f t="shared" si="7"/>
      </c>
      <c r="N20" s="583"/>
      <c r="O20" s="582">
        <v>8</v>
      </c>
      <c r="P20" s="447"/>
      <c r="Q20" s="479">
        <f t="shared" si="8"/>
      </c>
      <c r="R20" s="448"/>
    </row>
    <row r="21" spans="1:17" ht="30.75" customHeight="1">
      <c r="A21" s="86">
        <v>9</v>
      </c>
      <c r="B21" s="1065"/>
      <c r="C21" s="1066"/>
      <c r="D21" s="1066"/>
      <c r="E21" s="385"/>
      <c r="F21" s="385"/>
      <c r="G21" s="661"/>
      <c r="H21" s="657"/>
      <c r="I21" s="633">
        <f t="shared" si="0"/>
      </c>
      <c r="J21" s="648"/>
      <c r="K21" s="633">
        <f t="shared" si="5"/>
      </c>
      <c r="L21" s="633">
        <f t="shared" si="6"/>
      </c>
      <c r="M21" s="633">
        <f t="shared" si="7"/>
      </c>
      <c r="N21" s="581"/>
      <c r="O21" s="582">
        <v>8</v>
      </c>
      <c r="Q21" s="479">
        <f t="shared" si="8"/>
      </c>
    </row>
    <row r="22" spans="1:17" ht="30.75" customHeight="1">
      <c r="A22" s="86">
        <v>10</v>
      </c>
      <c r="B22" s="1059"/>
      <c r="C22" s="1060"/>
      <c r="D22" s="1060"/>
      <c r="E22" s="385"/>
      <c r="F22" s="385"/>
      <c r="G22" s="660"/>
      <c r="H22" s="650"/>
      <c r="I22" s="632">
        <f t="shared" si="0"/>
      </c>
      <c r="J22" s="634"/>
      <c r="K22" s="632">
        <f t="shared" si="5"/>
      </c>
      <c r="L22" s="632">
        <f t="shared" si="6"/>
      </c>
      <c r="M22" s="633">
        <f t="shared" si="7"/>
      </c>
      <c r="N22" s="444"/>
      <c r="O22" s="438">
        <v>8</v>
      </c>
      <c r="Q22" s="479">
        <f t="shared" si="8"/>
      </c>
    </row>
    <row r="23" spans="1:17" ht="30.75" customHeight="1">
      <c r="A23" s="85">
        <v>11</v>
      </c>
      <c r="B23" s="1059"/>
      <c r="C23" s="1060"/>
      <c r="D23" s="1060"/>
      <c r="E23" s="385"/>
      <c r="F23" s="385"/>
      <c r="G23" s="660"/>
      <c r="H23" s="650"/>
      <c r="I23" s="632">
        <f t="shared" si="0"/>
      </c>
      <c r="J23" s="634"/>
      <c r="K23" s="632">
        <f t="shared" si="5"/>
      </c>
      <c r="L23" s="632">
        <f t="shared" si="6"/>
      </c>
      <c r="M23" s="633">
        <f t="shared" si="7"/>
      </c>
      <c r="N23" s="444"/>
      <c r="O23" s="438">
        <v>8</v>
      </c>
      <c r="Q23" s="479">
        <f t="shared" si="8"/>
      </c>
    </row>
    <row r="24" spans="1:17" ht="30.75" customHeight="1">
      <c r="A24" s="86">
        <v>12</v>
      </c>
      <c r="B24" s="1059"/>
      <c r="C24" s="1060"/>
      <c r="D24" s="1060"/>
      <c r="E24" s="385"/>
      <c r="F24" s="385"/>
      <c r="G24" s="660"/>
      <c r="H24" s="650"/>
      <c r="I24" s="632">
        <f t="shared" si="0"/>
      </c>
      <c r="J24" s="634"/>
      <c r="K24" s="632">
        <f t="shared" si="5"/>
      </c>
      <c r="L24" s="632">
        <f t="shared" si="6"/>
      </c>
      <c r="M24" s="633">
        <f t="shared" si="7"/>
      </c>
      <c r="N24" s="444"/>
      <c r="O24" s="438">
        <v>8</v>
      </c>
      <c r="Q24" s="479">
        <f t="shared" si="8"/>
      </c>
    </row>
    <row r="25" spans="1:17" ht="30.75" customHeight="1">
      <c r="A25" s="85">
        <v>13</v>
      </c>
      <c r="B25" s="1059"/>
      <c r="C25" s="1060"/>
      <c r="D25" s="1060"/>
      <c r="E25" s="385"/>
      <c r="F25" s="385"/>
      <c r="G25" s="660"/>
      <c r="H25" s="650"/>
      <c r="I25" s="632">
        <f t="shared" si="0"/>
      </c>
      <c r="J25" s="634"/>
      <c r="K25" s="632">
        <f t="shared" si="5"/>
      </c>
      <c r="L25" s="632">
        <f t="shared" si="6"/>
      </c>
      <c r="M25" s="633">
        <f t="shared" si="7"/>
      </c>
      <c r="N25" s="444"/>
      <c r="O25" s="438">
        <v>8</v>
      </c>
      <c r="Q25" s="479">
        <f t="shared" si="8"/>
      </c>
    </row>
    <row r="26" spans="1:17" ht="30.75" customHeight="1">
      <c r="A26" s="86">
        <v>14</v>
      </c>
      <c r="B26" s="1059"/>
      <c r="C26" s="1060"/>
      <c r="D26" s="1060"/>
      <c r="E26" s="386"/>
      <c r="F26" s="385"/>
      <c r="G26" s="660"/>
      <c r="H26" s="650"/>
      <c r="I26" s="632">
        <f t="shared" si="0"/>
      </c>
      <c r="J26" s="634"/>
      <c r="K26" s="632">
        <f t="shared" si="5"/>
      </c>
      <c r="L26" s="632">
        <f t="shared" si="6"/>
      </c>
      <c r="M26" s="633">
        <f t="shared" si="7"/>
      </c>
      <c r="N26" s="444"/>
      <c r="O26" s="438">
        <v>8</v>
      </c>
      <c r="Q26" s="479">
        <f t="shared" si="8"/>
      </c>
    </row>
    <row r="27" spans="1:17" ht="30.75" customHeight="1">
      <c r="A27" s="85">
        <v>15</v>
      </c>
      <c r="B27" s="1059"/>
      <c r="C27" s="1060"/>
      <c r="D27" s="1060"/>
      <c r="E27" s="386"/>
      <c r="F27" s="385"/>
      <c r="G27" s="660"/>
      <c r="H27" s="650"/>
      <c r="I27" s="632">
        <f t="shared" si="0"/>
      </c>
      <c r="J27" s="634"/>
      <c r="K27" s="632">
        <f t="shared" si="5"/>
      </c>
      <c r="L27" s="632">
        <f t="shared" si="6"/>
      </c>
      <c r="M27" s="633">
        <f t="shared" si="7"/>
      </c>
      <c r="N27" s="444"/>
      <c r="O27" s="438">
        <v>8</v>
      </c>
      <c r="Q27" s="479">
        <f t="shared" si="8"/>
      </c>
    </row>
    <row r="28" spans="1:17" ht="30.75" customHeight="1">
      <c r="A28" s="86">
        <v>16</v>
      </c>
      <c r="B28" s="1059"/>
      <c r="C28" s="1060"/>
      <c r="D28" s="1060"/>
      <c r="E28" s="385"/>
      <c r="F28" s="385"/>
      <c r="G28" s="660"/>
      <c r="H28" s="650"/>
      <c r="I28" s="632">
        <f t="shared" si="0"/>
      </c>
      <c r="J28" s="634"/>
      <c r="K28" s="632">
        <f t="shared" si="5"/>
      </c>
      <c r="L28" s="632">
        <f t="shared" si="6"/>
      </c>
      <c r="M28" s="633">
        <f t="shared" si="7"/>
      </c>
      <c r="N28" s="444"/>
      <c r="O28" s="438">
        <v>8</v>
      </c>
      <c r="Q28" s="479">
        <f t="shared" si="8"/>
      </c>
    </row>
    <row r="29" spans="1:17" ht="30.75" customHeight="1">
      <c r="A29" s="85">
        <v>17</v>
      </c>
      <c r="B29" s="1059"/>
      <c r="C29" s="1060"/>
      <c r="D29" s="1060"/>
      <c r="E29" s="385"/>
      <c r="F29" s="385"/>
      <c r="G29" s="660"/>
      <c r="H29" s="650"/>
      <c r="I29" s="632">
        <f t="shared" si="0"/>
      </c>
      <c r="J29" s="634"/>
      <c r="K29" s="632">
        <f t="shared" si="5"/>
      </c>
      <c r="L29" s="632">
        <f t="shared" si="6"/>
      </c>
      <c r="M29" s="633">
        <f t="shared" si="7"/>
      </c>
      <c r="N29" s="444"/>
      <c r="O29" s="438">
        <v>8</v>
      </c>
      <c r="Q29" s="479">
        <f t="shared" si="8"/>
      </c>
    </row>
    <row r="30" spans="1:17" ht="30.75" customHeight="1">
      <c r="A30" s="86">
        <v>18</v>
      </c>
      <c r="B30" s="1059"/>
      <c r="C30" s="1060"/>
      <c r="D30" s="1060"/>
      <c r="E30" s="385"/>
      <c r="F30" s="385"/>
      <c r="G30" s="660"/>
      <c r="H30" s="650"/>
      <c r="I30" s="632">
        <f t="shared" si="0"/>
      </c>
      <c r="J30" s="634"/>
      <c r="K30" s="632">
        <f t="shared" si="5"/>
      </c>
      <c r="L30" s="632">
        <f t="shared" si="6"/>
      </c>
      <c r="M30" s="633">
        <f t="shared" si="7"/>
      </c>
      <c r="N30" s="444"/>
      <c r="O30" s="438">
        <v>8</v>
      </c>
      <c r="Q30" s="479">
        <f t="shared" si="8"/>
      </c>
    </row>
    <row r="31" spans="1:17" ht="30.75" customHeight="1">
      <c r="A31" s="85">
        <v>19</v>
      </c>
      <c r="B31" s="1059"/>
      <c r="C31" s="1060"/>
      <c r="D31" s="1060"/>
      <c r="E31" s="386"/>
      <c r="F31" s="385"/>
      <c r="G31" s="660"/>
      <c r="H31" s="650"/>
      <c r="I31" s="632">
        <f t="shared" si="0"/>
      </c>
      <c r="J31" s="634"/>
      <c r="K31" s="632">
        <f t="shared" si="5"/>
      </c>
      <c r="L31" s="632">
        <f t="shared" si="6"/>
      </c>
      <c r="M31" s="633">
        <f t="shared" si="7"/>
      </c>
      <c r="N31" s="444"/>
      <c r="O31" s="438">
        <v>8</v>
      </c>
      <c r="Q31" s="479">
        <f t="shared" si="8"/>
      </c>
    </row>
    <row r="32" spans="1:17" ht="30.75" customHeight="1" thickBot="1">
      <c r="A32" s="159">
        <v>20</v>
      </c>
      <c r="B32" s="1063"/>
      <c r="C32" s="1064"/>
      <c r="D32" s="1064"/>
      <c r="E32" s="389"/>
      <c r="F32" s="389"/>
      <c r="G32" s="662"/>
      <c r="H32" s="651"/>
      <c r="I32" s="637">
        <f t="shared" si="0"/>
      </c>
      <c r="J32" s="649"/>
      <c r="K32" s="635">
        <f t="shared" si="5"/>
      </c>
      <c r="L32" s="635">
        <f t="shared" si="6"/>
      </c>
      <c r="M32" s="637">
        <f t="shared" si="7"/>
      </c>
      <c r="N32" s="449"/>
      <c r="O32" s="439">
        <v>8</v>
      </c>
      <c r="Q32" s="480">
        <f t="shared" si="8"/>
      </c>
    </row>
    <row r="33" spans="1:18" ht="21" customHeight="1" thickBot="1">
      <c r="A33" s="1061" t="s">
        <v>26</v>
      </c>
      <c r="B33" s="1062"/>
      <c r="C33" s="1062"/>
      <c r="D33" s="1062"/>
      <c r="E33" s="1062"/>
      <c r="F33" s="1062"/>
      <c r="G33" s="1062"/>
      <c r="H33" s="1062"/>
      <c r="I33" s="1062"/>
      <c r="J33" s="403"/>
      <c r="K33" s="644">
        <f>SUM(K13:K32)</f>
        <v>2592000</v>
      </c>
      <c r="L33" s="644">
        <f>SUM(L13:L32)</f>
        <v>2400000</v>
      </c>
      <c r="M33" s="645">
        <f>SUM(M13:M32)</f>
        <v>2400000</v>
      </c>
      <c r="N33" s="83"/>
      <c r="Q33" s="768">
        <f>SUM(Q13:Q32)</f>
        <v>1599996</v>
      </c>
      <c r="R33" s="770" t="s">
        <v>858</v>
      </c>
    </row>
    <row r="34" spans="1:18" ht="13.5" customHeight="1">
      <c r="A34" s="80"/>
      <c r="N34" s="80"/>
      <c r="R34" s="530"/>
    </row>
    <row r="35" spans="2:18" ht="13.5" customHeight="1">
      <c r="B35" s="8" t="s">
        <v>33</v>
      </c>
      <c r="D35" s="412"/>
      <c r="E35" s="401" t="s">
        <v>107</v>
      </c>
      <c r="H35" s="8"/>
      <c r="M35" s="423"/>
      <c r="N35" s="80"/>
      <c r="Q35" s="423"/>
      <c r="R35" s="530"/>
    </row>
    <row r="36" spans="1:24" s="401" customFormat="1" ht="13.5" customHeight="1">
      <c r="A36" s="13"/>
      <c r="B36" s="8"/>
      <c r="C36" s="8"/>
      <c r="D36" s="8"/>
      <c r="E36" s="401" t="s">
        <v>108</v>
      </c>
      <c r="G36" s="8"/>
      <c r="H36" s="8"/>
      <c r="I36" s="8"/>
      <c r="J36" s="8"/>
      <c r="K36" s="8"/>
      <c r="L36" s="8"/>
      <c r="N36" s="84"/>
      <c r="O36" s="13"/>
      <c r="P36" s="13"/>
      <c r="Q36" s="406"/>
      <c r="R36" s="530"/>
      <c r="S36" s="406"/>
      <c r="T36" s="406"/>
      <c r="U36" s="406"/>
      <c r="V36" s="406"/>
      <c r="W36" s="406"/>
      <c r="X36" s="406"/>
    </row>
    <row r="37" spans="1:24" s="401" customFormat="1" ht="13.5" customHeight="1">
      <c r="A37" s="13"/>
      <c r="B37" s="8" t="s">
        <v>34</v>
      </c>
      <c r="C37" s="8"/>
      <c r="D37" s="8"/>
      <c r="E37" s="401" t="s">
        <v>109</v>
      </c>
      <c r="G37" s="8"/>
      <c r="H37" s="8"/>
      <c r="I37" s="8"/>
      <c r="J37" s="8"/>
      <c r="K37" s="8"/>
      <c r="L37" s="8"/>
      <c r="M37" s="423"/>
      <c r="N37" s="13"/>
      <c r="O37" s="13"/>
      <c r="P37" s="13"/>
      <c r="Q37" s="423"/>
      <c r="R37" s="327"/>
      <c r="S37" s="406"/>
      <c r="T37" s="406"/>
      <c r="U37" s="406"/>
      <c r="V37" s="406"/>
      <c r="W37" s="406"/>
      <c r="X37" s="406"/>
    </row>
    <row r="38" spans="1:24" s="401" customFormat="1" ht="13.5" customHeight="1">
      <c r="A38" s="13"/>
      <c r="B38" s="8" t="s">
        <v>35</v>
      </c>
      <c r="C38" s="8"/>
      <c r="D38" s="8"/>
      <c r="E38" s="401" t="s">
        <v>110</v>
      </c>
      <c r="G38" s="8"/>
      <c r="H38" s="8"/>
      <c r="I38" s="8"/>
      <c r="J38" s="8"/>
      <c r="K38" s="8"/>
      <c r="L38" s="8"/>
      <c r="M38" s="423"/>
      <c r="N38" s="13"/>
      <c r="O38" s="13"/>
      <c r="P38" s="13"/>
      <c r="Q38" s="423"/>
      <c r="R38" s="327"/>
      <c r="S38" s="406"/>
      <c r="T38" s="406"/>
      <c r="U38" s="406"/>
      <c r="V38" s="406"/>
      <c r="W38" s="406"/>
      <c r="X38" s="406"/>
    </row>
    <row r="39" spans="13:17" ht="13.5">
      <c r="M39" s="75"/>
      <c r="Q39" s="75"/>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Q13:Q32 I13:M32"/>
  </dataValidations>
  <hyperlinks>
    <hyperlink ref="B2" location="'基本情報入力（使い方）'!A42"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7.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10.421875" style="8" bestFit="1" customWidth="1"/>
    <col min="17" max="17" width="9.00390625" style="8" customWidth="1"/>
    <col min="18" max="18" width="10.421875" style="8" bestFit="1" customWidth="1"/>
    <col min="19" max="16384" width="9.00390625" style="8" customWidth="1"/>
  </cols>
  <sheetData>
    <row r="1" spans="8:18" ht="13.5">
      <c r="H1" s="13"/>
      <c r="P1" s="13"/>
      <c r="Q1" s="408"/>
      <c r="R1" s="408"/>
    </row>
    <row r="2" spans="2:18" ht="13.5">
      <c r="B2" s="767" t="s">
        <v>852</v>
      </c>
      <c r="H2" s="13"/>
      <c r="P2" s="13"/>
      <c r="Q2" s="408"/>
      <c r="R2" s="408"/>
    </row>
    <row r="3" spans="8:18" ht="13.5">
      <c r="H3" s="13"/>
      <c r="P3" s="13"/>
      <c r="Q3" s="408"/>
      <c r="R3" s="408"/>
    </row>
    <row r="4" spans="1:6" ht="13.5" customHeight="1">
      <c r="A4" s="1050" t="s">
        <v>940</v>
      </c>
      <c r="B4" s="1050"/>
      <c r="C4" s="1050"/>
      <c r="D4" s="1050"/>
      <c r="E4" s="1050"/>
      <c r="F4" s="13"/>
    </row>
    <row r="5" spans="1:14" ht="13.5" customHeight="1">
      <c r="A5" s="80"/>
      <c r="B5" s="80"/>
      <c r="C5" s="80"/>
      <c r="D5" s="80"/>
      <c r="E5" s="435"/>
      <c r="F5" s="13"/>
      <c r="N5" s="80"/>
    </row>
    <row r="6" spans="1:14" ht="13.5" customHeight="1">
      <c r="A6" s="80"/>
      <c r="B6" s="80" t="s">
        <v>124</v>
      </c>
      <c r="C6" s="409" t="s">
        <v>32</v>
      </c>
      <c r="D6" s="80"/>
      <c r="E6" s="435"/>
      <c r="F6" s="410" t="s">
        <v>27</v>
      </c>
      <c r="N6" s="80"/>
    </row>
    <row r="7" spans="1:14" ht="13.5" customHeight="1">
      <c r="A7" s="80"/>
      <c r="B7" s="80"/>
      <c r="C7" s="80"/>
      <c r="D7" s="80"/>
      <c r="E7" s="435"/>
      <c r="F7" s="539" t="s">
        <v>40</v>
      </c>
      <c r="N7" s="80"/>
    </row>
    <row r="8" spans="1:15" ht="13.5" customHeight="1">
      <c r="A8" s="80"/>
      <c r="B8" s="80"/>
      <c r="C8" s="80"/>
      <c r="D8" s="80"/>
      <c r="E8" s="435"/>
      <c r="F8" s="13"/>
      <c r="M8" s="8" t="s">
        <v>36</v>
      </c>
      <c r="N8" s="80"/>
      <c r="O8" s="411"/>
    </row>
    <row r="9" spans="1:14" ht="13.5" customHeight="1">
      <c r="A9" s="80"/>
      <c r="F9" s="13"/>
      <c r="K9" s="9" t="s">
        <v>106</v>
      </c>
      <c r="L9" s="45" t="str">
        <f>IF('基本情報入力（使い方）'!$C$10="","",'基本情報入力（使い方）'!$C$10)</f>
        <v>Ｂ金属株式会社</v>
      </c>
      <c r="M9" s="9"/>
      <c r="N9" s="80"/>
    </row>
    <row r="10" spans="1:14" ht="13.5" customHeight="1" thickBot="1">
      <c r="A10" s="80"/>
      <c r="F10" s="13"/>
      <c r="N10" s="80"/>
    </row>
    <row r="11" spans="1:15" ht="27" customHeight="1">
      <c r="A11" s="1051" t="s">
        <v>12</v>
      </c>
      <c r="B11" s="1053" t="s">
        <v>13</v>
      </c>
      <c r="C11" s="1053"/>
      <c r="D11" s="1054"/>
      <c r="E11" s="436" t="s">
        <v>14</v>
      </c>
      <c r="F11" s="10" t="s">
        <v>15</v>
      </c>
      <c r="G11" s="10" t="s">
        <v>16</v>
      </c>
      <c r="H11" s="10" t="s">
        <v>17</v>
      </c>
      <c r="I11" s="10" t="s">
        <v>6</v>
      </c>
      <c r="J11" s="10" t="s">
        <v>6</v>
      </c>
      <c r="K11" s="1069" t="s">
        <v>18</v>
      </c>
      <c r="L11" s="1054"/>
      <c r="M11" s="404" t="s">
        <v>19</v>
      </c>
      <c r="N11" s="1055" t="s">
        <v>12</v>
      </c>
      <c r="O11" s="1057" t="s">
        <v>123</v>
      </c>
    </row>
    <row r="12" spans="1:15" ht="42" customHeight="1" thickBot="1">
      <c r="A12" s="1052"/>
      <c r="B12" s="414" t="s">
        <v>20</v>
      </c>
      <c r="C12" s="414" t="s">
        <v>21</v>
      </c>
      <c r="D12" s="415" t="s">
        <v>22</v>
      </c>
      <c r="E12" s="437"/>
      <c r="F12" s="417"/>
      <c r="G12" s="402"/>
      <c r="H12" s="402"/>
      <c r="I12" s="402" t="s">
        <v>23</v>
      </c>
      <c r="J12" s="402" t="s">
        <v>41</v>
      </c>
      <c r="K12" s="402" t="s">
        <v>24</v>
      </c>
      <c r="L12" s="11" t="s">
        <v>39</v>
      </c>
      <c r="M12" s="11" t="s">
        <v>25</v>
      </c>
      <c r="N12" s="1056"/>
      <c r="O12" s="1058"/>
    </row>
    <row r="13" spans="1:15" ht="30.75" customHeight="1">
      <c r="A13" s="85">
        <v>1</v>
      </c>
      <c r="B13" s="1059"/>
      <c r="C13" s="1060"/>
      <c r="D13" s="1060"/>
      <c r="E13" s="383" t="s">
        <v>871</v>
      </c>
      <c r="F13" s="384" t="s">
        <v>872</v>
      </c>
      <c r="G13" s="660">
        <v>20</v>
      </c>
      <c r="H13" s="650" t="s">
        <v>976</v>
      </c>
      <c r="I13" s="632">
        <f aca="true" t="shared" si="0" ref="I13:I18">IF(J13="","",ROUNDDOWN(J13*(1+O13/100),0))</f>
        <v>5140</v>
      </c>
      <c r="J13" s="634">
        <v>4760</v>
      </c>
      <c r="K13" s="632">
        <f aca="true" t="shared" si="1" ref="K13:K18">IF(L13="","",ROUNDDOWN(L13*(1+O13/100),0))</f>
        <v>102816</v>
      </c>
      <c r="L13" s="632">
        <f aca="true" t="shared" si="2" ref="L13:L18">IF(OR(J13="",G13=""),"",ROUNDDOWN(J13*G13,0))</f>
        <v>95200</v>
      </c>
      <c r="M13" s="632">
        <f aca="true" t="shared" si="3" ref="M13:M18">L13</f>
        <v>95200</v>
      </c>
      <c r="N13" s="81">
        <v>1</v>
      </c>
      <c r="O13" s="438">
        <v>8</v>
      </c>
    </row>
    <row r="14" spans="1:16" ht="30.75" customHeight="1">
      <c r="A14" s="86">
        <v>2</v>
      </c>
      <c r="B14" s="1059"/>
      <c r="C14" s="1060"/>
      <c r="D14" s="1060"/>
      <c r="E14" s="384" t="s">
        <v>871</v>
      </c>
      <c r="F14" s="384" t="s">
        <v>873</v>
      </c>
      <c r="G14" s="661">
        <v>10</v>
      </c>
      <c r="H14" s="650" t="s">
        <v>977</v>
      </c>
      <c r="I14" s="632">
        <f t="shared" si="0"/>
        <v>3807</v>
      </c>
      <c r="J14" s="648">
        <v>3525</v>
      </c>
      <c r="K14" s="632">
        <f t="shared" si="1"/>
        <v>38070</v>
      </c>
      <c r="L14" s="633">
        <f t="shared" si="2"/>
        <v>35250</v>
      </c>
      <c r="M14" s="633">
        <f t="shared" si="3"/>
        <v>35250</v>
      </c>
      <c r="N14" s="82">
        <v>2</v>
      </c>
      <c r="O14" s="438">
        <v>8</v>
      </c>
      <c r="P14" s="411"/>
    </row>
    <row r="15" spans="1:16" ht="30.75" customHeight="1">
      <c r="A15" s="85">
        <v>3</v>
      </c>
      <c r="B15" s="1059"/>
      <c r="C15" s="1060"/>
      <c r="D15" s="1060"/>
      <c r="E15" s="385" t="s">
        <v>871</v>
      </c>
      <c r="F15" s="385" t="s">
        <v>874</v>
      </c>
      <c r="G15" s="661">
        <v>10</v>
      </c>
      <c r="H15" s="650" t="s">
        <v>977</v>
      </c>
      <c r="I15" s="632">
        <f t="shared" si="0"/>
        <v>16200</v>
      </c>
      <c r="J15" s="648">
        <v>15000</v>
      </c>
      <c r="K15" s="632">
        <f t="shared" si="1"/>
        <v>162000</v>
      </c>
      <c r="L15" s="633">
        <f t="shared" si="2"/>
        <v>150000</v>
      </c>
      <c r="M15" s="633">
        <f t="shared" si="3"/>
        <v>150000</v>
      </c>
      <c r="N15" s="81">
        <v>3</v>
      </c>
      <c r="O15" s="438">
        <v>8</v>
      </c>
      <c r="P15" s="411"/>
    </row>
    <row r="16" spans="1:18" s="77" customFormat="1" ht="30.75" customHeight="1">
      <c r="A16" s="86">
        <v>4</v>
      </c>
      <c r="B16" s="1059"/>
      <c r="C16" s="1060"/>
      <c r="D16" s="1060"/>
      <c r="E16" s="385" t="s">
        <v>871</v>
      </c>
      <c r="F16" s="385" t="s">
        <v>875</v>
      </c>
      <c r="G16" s="660">
        <v>10</v>
      </c>
      <c r="H16" s="650" t="s">
        <v>977</v>
      </c>
      <c r="I16" s="632">
        <f t="shared" si="0"/>
        <v>1620</v>
      </c>
      <c r="J16" s="648">
        <v>1500</v>
      </c>
      <c r="K16" s="632">
        <f t="shared" si="1"/>
        <v>16200</v>
      </c>
      <c r="L16" s="633">
        <f t="shared" si="2"/>
        <v>15000</v>
      </c>
      <c r="M16" s="633">
        <f t="shared" si="3"/>
        <v>15000</v>
      </c>
      <c r="N16" s="82">
        <v>4</v>
      </c>
      <c r="O16" s="438">
        <v>8</v>
      </c>
      <c r="P16" s="411"/>
      <c r="Q16" s="8"/>
      <c r="R16" s="8"/>
    </row>
    <row r="17" spans="1:18" s="77" customFormat="1" ht="30.75" customHeight="1">
      <c r="A17" s="85">
        <v>5</v>
      </c>
      <c r="B17" s="1059"/>
      <c r="C17" s="1060"/>
      <c r="D17" s="1060"/>
      <c r="E17" s="385" t="s">
        <v>871</v>
      </c>
      <c r="F17" s="385" t="s">
        <v>875</v>
      </c>
      <c r="G17" s="661">
        <v>1</v>
      </c>
      <c r="H17" s="650" t="s">
        <v>977</v>
      </c>
      <c r="I17" s="632">
        <f t="shared" si="0"/>
        <v>125874</v>
      </c>
      <c r="J17" s="648">
        <v>116550</v>
      </c>
      <c r="K17" s="632">
        <f t="shared" si="1"/>
        <v>125874</v>
      </c>
      <c r="L17" s="633">
        <f t="shared" si="2"/>
        <v>116550</v>
      </c>
      <c r="M17" s="633">
        <f t="shared" si="3"/>
        <v>116550</v>
      </c>
      <c r="N17" s="81">
        <v>5</v>
      </c>
      <c r="O17" s="438">
        <v>8</v>
      </c>
      <c r="P17" s="8"/>
      <c r="Q17" s="8"/>
      <c r="R17" s="8"/>
    </row>
    <row r="18" spans="1:15" ht="30.75" customHeight="1">
      <c r="A18" s="86">
        <v>6</v>
      </c>
      <c r="B18" s="1059"/>
      <c r="C18" s="1060"/>
      <c r="D18" s="1060"/>
      <c r="E18" s="386" t="s">
        <v>871</v>
      </c>
      <c r="F18" s="385" t="s">
        <v>875</v>
      </c>
      <c r="G18" s="661">
        <v>1</v>
      </c>
      <c r="H18" s="650" t="s">
        <v>977</v>
      </c>
      <c r="I18" s="632">
        <f t="shared" si="0"/>
        <v>95040</v>
      </c>
      <c r="J18" s="648">
        <v>88000</v>
      </c>
      <c r="K18" s="632">
        <f t="shared" si="1"/>
        <v>95040</v>
      </c>
      <c r="L18" s="633">
        <f t="shared" si="2"/>
        <v>88000</v>
      </c>
      <c r="M18" s="633">
        <f t="shared" si="3"/>
        <v>88000</v>
      </c>
      <c r="N18" s="82">
        <v>6</v>
      </c>
      <c r="O18" s="438">
        <v>8</v>
      </c>
    </row>
    <row r="19" spans="1:15" ht="30.75" customHeight="1">
      <c r="A19" s="85">
        <v>7</v>
      </c>
      <c r="B19" s="1059"/>
      <c r="C19" s="1060"/>
      <c r="D19" s="1060"/>
      <c r="E19" s="386"/>
      <c r="F19" s="385"/>
      <c r="G19" s="660"/>
      <c r="H19" s="657"/>
      <c r="I19" s="632">
        <f aca="true" t="shared" si="4" ref="I19:I32">IF(J19="","",ROUNDDOWN(J19*(1+O19/100),0))</f>
      </c>
      <c r="J19" s="648"/>
      <c r="K19" s="632">
        <f aca="true" t="shared" si="5" ref="K19:K32">IF(L19="","",ROUNDDOWN(L19*(1+O19/100),0))</f>
      </c>
      <c r="L19" s="633">
        <f aca="true" t="shared" si="6" ref="L19:L32">IF(OR(J19="",G19=""),"",ROUNDDOWN(J19*G19,0))</f>
      </c>
      <c r="M19" s="633">
        <f aca="true" t="shared" si="7" ref="M19:M32">L19</f>
      </c>
      <c r="N19" s="81">
        <v>7</v>
      </c>
      <c r="O19" s="438">
        <v>8</v>
      </c>
    </row>
    <row r="20" spans="1:15" ht="30.75" customHeight="1">
      <c r="A20" s="86">
        <v>8</v>
      </c>
      <c r="B20" s="1059"/>
      <c r="C20" s="1060"/>
      <c r="D20" s="1060"/>
      <c r="E20" s="386"/>
      <c r="F20" s="385"/>
      <c r="G20" s="661"/>
      <c r="H20" s="657"/>
      <c r="I20" s="632">
        <f t="shared" si="4"/>
      </c>
      <c r="J20" s="648"/>
      <c r="K20" s="632">
        <f t="shared" si="5"/>
      </c>
      <c r="L20" s="633">
        <f t="shared" si="6"/>
      </c>
      <c r="M20" s="633">
        <f t="shared" si="7"/>
      </c>
      <c r="N20" s="82">
        <v>8</v>
      </c>
      <c r="O20" s="438">
        <v>8</v>
      </c>
    </row>
    <row r="21" spans="1:15" ht="30.75" customHeight="1">
      <c r="A21" s="85">
        <v>9</v>
      </c>
      <c r="B21" s="1059"/>
      <c r="C21" s="1060"/>
      <c r="D21" s="1060"/>
      <c r="E21" s="386"/>
      <c r="F21" s="385"/>
      <c r="G21" s="661"/>
      <c r="H21" s="657"/>
      <c r="I21" s="632">
        <f t="shared" si="4"/>
      </c>
      <c r="J21" s="648"/>
      <c r="K21" s="632">
        <f t="shared" si="5"/>
      </c>
      <c r="L21" s="633">
        <f t="shared" si="6"/>
      </c>
      <c r="M21" s="633">
        <f t="shared" si="7"/>
      </c>
      <c r="N21" s="81">
        <v>9</v>
      </c>
      <c r="O21" s="438">
        <v>8</v>
      </c>
    </row>
    <row r="22" spans="1:15" ht="30.75" customHeight="1">
      <c r="A22" s="86">
        <v>10</v>
      </c>
      <c r="B22" s="1059"/>
      <c r="C22" s="1060"/>
      <c r="D22" s="1060"/>
      <c r="E22" s="386"/>
      <c r="F22" s="385"/>
      <c r="G22" s="660"/>
      <c r="H22" s="657"/>
      <c r="I22" s="632">
        <f t="shared" si="4"/>
      </c>
      <c r="J22" s="648"/>
      <c r="K22" s="632">
        <f t="shared" si="5"/>
      </c>
      <c r="L22" s="633">
        <f t="shared" si="6"/>
      </c>
      <c r="M22" s="633">
        <f t="shared" si="7"/>
      </c>
      <c r="N22" s="82">
        <v>10</v>
      </c>
      <c r="O22" s="438">
        <v>8</v>
      </c>
    </row>
    <row r="23" spans="1:15" ht="30.75" customHeight="1">
      <c r="A23" s="85">
        <v>11</v>
      </c>
      <c r="B23" s="1059"/>
      <c r="C23" s="1060"/>
      <c r="D23" s="1060"/>
      <c r="E23" s="386"/>
      <c r="F23" s="385"/>
      <c r="G23" s="661"/>
      <c r="H23" s="657"/>
      <c r="I23" s="632">
        <f t="shared" si="4"/>
      </c>
      <c r="J23" s="648"/>
      <c r="K23" s="632">
        <f t="shared" si="5"/>
      </c>
      <c r="L23" s="633">
        <f t="shared" si="6"/>
      </c>
      <c r="M23" s="633">
        <f t="shared" si="7"/>
      </c>
      <c r="N23" s="81">
        <v>11</v>
      </c>
      <c r="O23" s="438">
        <v>8</v>
      </c>
    </row>
    <row r="24" spans="1:15" ht="30.75" customHeight="1">
      <c r="A24" s="86">
        <v>12</v>
      </c>
      <c r="B24" s="1059"/>
      <c r="C24" s="1060"/>
      <c r="D24" s="1060"/>
      <c r="E24" s="386"/>
      <c r="F24" s="385"/>
      <c r="G24" s="661"/>
      <c r="H24" s="657"/>
      <c r="I24" s="632">
        <f t="shared" si="4"/>
      </c>
      <c r="J24" s="648"/>
      <c r="K24" s="632">
        <f t="shared" si="5"/>
      </c>
      <c r="L24" s="633">
        <f t="shared" si="6"/>
      </c>
      <c r="M24" s="633">
        <f t="shared" si="7"/>
      </c>
      <c r="N24" s="82">
        <v>12</v>
      </c>
      <c r="O24" s="438">
        <v>8</v>
      </c>
    </row>
    <row r="25" spans="1:15" ht="30.75" customHeight="1">
      <c r="A25" s="85">
        <v>13</v>
      </c>
      <c r="B25" s="1059"/>
      <c r="C25" s="1060"/>
      <c r="D25" s="1060"/>
      <c r="E25" s="386"/>
      <c r="F25" s="385"/>
      <c r="G25" s="660"/>
      <c r="H25" s="657"/>
      <c r="I25" s="632">
        <f t="shared" si="4"/>
      </c>
      <c r="J25" s="648"/>
      <c r="K25" s="632">
        <f t="shared" si="5"/>
      </c>
      <c r="L25" s="633">
        <f t="shared" si="6"/>
      </c>
      <c r="M25" s="633">
        <f t="shared" si="7"/>
      </c>
      <c r="N25" s="81">
        <v>13</v>
      </c>
      <c r="O25" s="438">
        <v>8</v>
      </c>
    </row>
    <row r="26" spans="1:15" ht="30.75" customHeight="1">
      <c r="A26" s="86">
        <v>14</v>
      </c>
      <c r="B26" s="1059"/>
      <c r="C26" s="1060"/>
      <c r="D26" s="1060"/>
      <c r="E26" s="386"/>
      <c r="F26" s="385"/>
      <c r="G26" s="661"/>
      <c r="H26" s="657"/>
      <c r="I26" s="632">
        <f t="shared" si="4"/>
      </c>
      <c r="J26" s="648"/>
      <c r="K26" s="632">
        <f t="shared" si="5"/>
      </c>
      <c r="L26" s="633">
        <f t="shared" si="6"/>
      </c>
      <c r="M26" s="633">
        <f t="shared" si="7"/>
      </c>
      <c r="N26" s="82">
        <v>14</v>
      </c>
      <c r="O26" s="438">
        <v>8</v>
      </c>
    </row>
    <row r="27" spans="1:15" ht="30.75" customHeight="1">
      <c r="A27" s="85">
        <v>15</v>
      </c>
      <c r="B27" s="1059"/>
      <c r="C27" s="1060"/>
      <c r="D27" s="1060"/>
      <c r="E27" s="386"/>
      <c r="F27" s="385"/>
      <c r="G27" s="660"/>
      <c r="H27" s="657"/>
      <c r="I27" s="632">
        <f t="shared" si="4"/>
      </c>
      <c r="J27" s="648"/>
      <c r="K27" s="632">
        <f t="shared" si="5"/>
      </c>
      <c r="L27" s="633">
        <f t="shared" si="6"/>
      </c>
      <c r="M27" s="633">
        <f t="shared" si="7"/>
      </c>
      <c r="N27" s="81">
        <v>15</v>
      </c>
      <c r="O27" s="438">
        <v>8</v>
      </c>
    </row>
    <row r="28" spans="1:15" ht="30.75" customHeight="1">
      <c r="A28" s="86">
        <v>16</v>
      </c>
      <c r="B28" s="1059"/>
      <c r="C28" s="1060"/>
      <c r="D28" s="1060"/>
      <c r="E28" s="386"/>
      <c r="F28" s="385"/>
      <c r="G28" s="661"/>
      <c r="H28" s="657"/>
      <c r="I28" s="632">
        <f t="shared" si="4"/>
      </c>
      <c r="J28" s="648"/>
      <c r="K28" s="632">
        <f t="shared" si="5"/>
      </c>
      <c r="L28" s="633">
        <f t="shared" si="6"/>
      </c>
      <c r="M28" s="633">
        <f t="shared" si="7"/>
      </c>
      <c r="N28" s="82">
        <v>16</v>
      </c>
      <c r="O28" s="438">
        <v>8</v>
      </c>
    </row>
    <row r="29" spans="1:15" ht="30.75" customHeight="1">
      <c r="A29" s="85">
        <v>17</v>
      </c>
      <c r="B29" s="1059"/>
      <c r="C29" s="1060"/>
      <c r="D29" s="1060"/>
      <c r="E29" s="386"/>
      <c r="F29" s="385"/>
      <c r="G29" s="660"/>
      <c r="H29" s="657"/>
      <c r="I29" s="632">
        <f t="shared" si="4"/>
      </c>
      <c r="J29" s="648"/>
      <c r="K29" s="632">
        <f t="shared" si="5"/>
      </c>
      <c r="L29" s="633">
        <f t="shared" si="6"/>
      </c>
      <c r="M29" s="633">
        <f t="shared" si="7"/>
      </c>
      <c r="N29" s="81">
        <v>17</v>
      </c>
      <c r="O29" s="438">
        <v>8</v>
      </c>
    </row>
    <row r="30" spans="1:15" ht="30.75" customHeight="1">
      <c r="A30" s="86">
        <v>18</v>
      </c>
      <c r="B30" s="1059"/>
      <c r="C30" s="1060"/>
      <c r="D30" s="1060"/>
      <c r="E30" s="387"/>
      <c r="F30" s="387"/>
      <c r="G30" s="665"/>
      <c r="H30" s="658"/>
      <c r="I30" s="632">
        <f t="shared" si="4"/>
      </c>
      <c r="J30" s="648"/>
      <c r="K30" s="632">
        <f t="shared" si="5"/>
      </c>
      <c r="L30" s="633">
        <f t="shared" si="6"/>
      </c>
      <c r="M30" s="633">
        <f t="shared" si="7"/>
      </c>
      <c r="N30" s="82">
        <v>18</v>
      </c>
      <c r="O30" s="438">
        <v>8</v>
      </c>
    </row>
    <row r="31" spans="1:15" ht="30.75" customHeight="1">
      <c r="A31" s="85">
        <v>19</v>
      </c>
      <c r="B31" s="1059"/>
      <c r="C31" s="1060"/>
      <c r="D31" s="1060"/>
      <c r="E31" s="387"/>
      <c r="F31" s="387"/>
      <c r="G31" s="665"/>
      <c r="H31" s="658"/>
      <c r="I31" s="632">
        <f t="shared" si="4"/>
      </c>
      <c r="J31" s="648"/>
      <c r="K31" s="632">
        <f t="shared" si="5"/>
      </c>
      <c r="L31" s="633">
        <f t="shared" si="6"/>
      </c>
      <c r="M31" s="633">
        <f t="shared" si="7"/>
      </c>
      <c r="N31" s="81">
        <v>19</v>
      </c>
      <c r="O31" s="438">
        <v>8</v>
      </c>
    </row>
    <row r="32" spans="1:15" ht="30.75" customHeight="1" thickBot="1">
      <c r="A32" s="159">
        <v>20</v>
      </c>
      <c r="B32" s="1063"/>
      <c r="C32" s="1064"/>
      <c r="D32" s="1064"/>
      <c r="E32" s="388"/>
      <c r="F32" s="388"/>
      <c r="G32" s="666"/>
      <c r="H32" s="659"/>
      <c r="I32" s="635">
        <f t="shared" si="4"/>
      </c>
      <c r="J32" s="649"/>
      <c r="K32" s="635">
        <f t="shared" si="5"/>
      </c>
      <c r="L32" s="637">
        <f t="shared" si="6"/>
      </c>
      <c r="M32" s="637">
        <f t="shared" si="7"/>
      </c>
      <c r="N32" s="160">
        <v>20</v>
      </c>
      <c r="O32" s="439">
        <v>8</v>
      </c>
    </row>
    <row r="33" spans="1:14" ht="21" customHeight="1" thickBot="1">
      <c r="A33" s="1061" t="s">
        <v>26</v>
      </c>
      <c r="B33" s="1062"/>
      <c r="C33" s="1062"/>
      <c r="D33" s="1062"/>
      <c r="E33" s="1062"/>
      <c r="F33" s="1062"/>
      <c r="G33" s="1062"/>
      <c r="H33" s="1062"/>
      <c r="I33" s="1062"/>
      <c r="J33" s="403"/>
      <c r="K33" s="644">
        <f>SUM(K13:K32)</f>
        <v>540000</v>
      </c>
      <c r="L33" s="646">
        <f>SUM(L13:L32)</f>
        <v>500000</v>
      </c>
      <c r="M33" s="647">
        <f>SUM(M13:M32)</f>
        <v>500000</v>
      </c>
      <c r="N33" s="83"/>
    </row>
    <row r="34" spans="1:14" ht="13.5" customHeight="1">
      <c r="A34" s="80"/>
      <c r="N34" s="80"/>
    </row>
    <row r="35" spans="2:14" ht="13.5" customHeight="1">
      <c r="B35" s="8" t="s">
        <v>33</v>
      </c>
      <c r="D35" s="412"/>
      <c r="E35" s="401" t="s">
        <v>107</v>
      </c>
      <c r="N35" s="80"/>
    </row>
    <row r="36" spans="5:16" ht="13.5" customHeight="1">
      <c r="E36" s="401" t="s">
        <v>108</v>
      </c>
      <c r="N36" s="84"/>
      <c r="P36" s="401"/>
    </row>
    <row r="37" spans="2:16" ht="13.5" customHeight="1">
      <c r="B37" s="8" t="s">
        <v>34</v>
      </c>
      <c r="E37" s="401" t="s">
        <v>109</v>
      </c>
      <c r="P37" s="401"/>
    </row>
    <row r="38" spans="2:16" ht="13.5" customHeight="1">
      <c r="B38" s="8" t="s">
        <v>35</v>
      </c>
      <c r="E38" s="401" t="s">
        <v>110</v>
      </c>
      <c r="P38" s="401"/>
    </row>
    <row r="39" spans="1:16" s="401" customFormat="1" ht="13.5">
      <c r="A39" s="13"/>
      <c r="B39" s="8"/>
      <c r="C39" s="8"/>
      <c r="D39" s="8"/>
      <c r="E39" s="407"/>
      <c r="G39" s="8"/>
      <c r="H39" s="8"/>
      <c r="I39" s="8"/>
      <c r="J39" s="8"/>
      <c r="K39" s="8"/>
      <c r="L39" s="8"/>
      <c r="M39" s="8"/>
      <c r="N39" s="13"/>
      <c r="O39" s="13"/>
      <c r="P39" s="8"/>
    </row>
    <row r="40" spans="1:16" s="401" customFormat="1" ht="13.5">
      <c r="A40" s="13"/>
      <c r="B40" s="8"/>
      <c r="C40" s="8"/>
      <c r="D40" s="8"/>
      <c r="E40" s="407"/>
      <c r="G40" s="8"/>
      <c r="H40" s="8"/>
      <c r="I40" s="8"/>
      <c r="J40" s="8"/>
      <c r="K40" s="8"/>
      <c r="L40" s="8"/>
      <c r="M40" s="8"/>
      <c r="N40" s="13"/>
      <c r="O40" s="13"/>
      <c r="P40" s="8"/>
    </row>
    <row r="41" spans="1:16" s="401" customFormat="1" ht="13.5">
      <c r="A41" s="13"/>
      <c r="B41" s="8"/>
      <c r="C41" s="8"/>
      <c r="D41" s="8"/>
      <c r="E41" s="407"/>
      <c r="G41" s="8"/>
      <c r="H41" s="8"/>
      <c r="I41" s="8"/>
      <c r="J41" s="8"/>
      <c r="K41" s="8"/>
      <c r="L41" s="8"/>
      <c r="M41" s="8"/>
      <c r="N41" s="13"/>
      <c r="O41" s="13"/>
      <c r="P41" s="8"/>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3"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3.57421875" style="13" customWidth="1"/>
    <col min="17" max="16384" width="9.00390625" style="8" customWidth="1"/>
  </cols>
  <sheetData>
    <row r="1" spans="1:18" ht="13.5">
      <c r="A1" s="13"/>
      <c r="H1" s="13"/>
      <c r="Q1" s="408"/>
      <c r="R1" s="408"/>
    </row>
    <row r="2" spans="1:18" ht="13.5">
      <c r="A2" s="13"/>
      <c r="B2" s="767" t="s">
        <v>852</v>
      </c>
      <c r="H2" s="13"/>
      <c r="Q2" s="408"/>
      <c r="R2" s="408"/>
    </row>
    <row r="3" spans="1:18" ht="13.5">
      <c r="A3" s="13"/>
      <c r="H3" s="13"/>
      <c r="Q3" s="408"/>
      <c r="R3" s="408"/>
    </row>
    <row r="4" spans="1:6" ht="13.5" customHeight="1">
      <c r="A4" s="1050" t="s">
        <v>940</v>
      </c>
      <c r="B4" s="1050"/>
      <c r="C4" s="1050"/>
      <c r="D4" s="1050"/>
      <c r="E4" s="1050"/>
      <c r="F4" s="13"/>
    </row>
    <row r="5" spans="1:16" ht="13.5" customHeight="1">
      <c r="A5" s="80"/>
      <c r="B5" s="80"/>
      <c r="C5" s="80"/>
      <c r="D5" s="80"/>
      <c r="E5" s="435"/>
      <c r="F5" s="13"/>
      <c r="N5" s="80"/>
      <c r="P5" s="80"/>
    </row>
    <row r="6" spans="1:16" ht="13.5" customHeight="1">
      <c r="A6" s="80"/>
      <c r="B6" s="80" t="s">
        <v>28</v>
      </c>
      <c r="C6" s="409" t="s">
        <v>32</v>
      </c>
      <c r="D6" s="80"/>
      <c r="E6" s="435"/>
      <c r="F6" s="410" t="s">
        <v>27</v>
      </c>
      <c r="N6" s="80"/>
      <c r="P6" s="80"/>
    </row>
    <row r="7" spans="1:16" ht="13.5" customHeight="1">
      <c r="A7" s="80"/>
      <c r="B7" s="80"/>
      <c r="C7" s="80"/>
      <c r="D7" s="80"/>
      <c r="E7" s="435"/>
      <c r="F7" s="539" t="s">
        <v>53</v>
      </c>
      <c r="N7" s="80"/>
      <c r="P7" s="80"/>
    </row>
    <row r="8" spans="1:16" ht="13.5" customHeight="1">
      <c r="A8" s="80"/>
      <c r="B8" s="80"/>
      <c r="C8" s="80"/>
      <c r="D8" s="80"/>
      <c r="E8" s="435"/>
      <c r="F8" s="13"/>
      <c r="M8" s="8" t="s">
        <v>36</v>
      </c>
      <c r="N8" s="80"/>
      <c r="O8" s="411"/>
      <c r="P8" s="80"/>
    </row>
    <row r="9" spans="1:16" ht="13.5" customHeight="1">
      <c r="A9" s="412"/>
      <c r="F9" s="13"/>
      <c r="K9" s="9" t="s">
        <v>106</v>
      </c>
      <c r="L9" s="45" t="str">
        <f>IF('基本情報入力（使い方）'!$C$10="","",'基本情報入力（使い方）'!$C$10)</f>
        <v>Ｂ金属株式会社</v>
      </c>
      <c r="N9" s="80"/>
      <c r="P9" s="80"/>
    </row>
    <row r="10" spans="1:16" ht="13.5" customHeight="1" thickBot="1">
      <c r="A10" s="412"/>
      <c r="F10" s="13"/>
      <c r="N10" s="80"/>
      <c r="P10" s="80"/>
    </row>
    <row r="11" spans="1:16" ht="27" customHeight="1">
      <c r="A11" s="1051" t="s">
        <v>12</v>
      </c>
      <c r="B11" s="1053" t="s">
        <v>13</v>
      </c>
      <c r="C11" s="1053"/>
      <c r="D11" s="1054"/>
      <c r="E11" s="436" t="s">
        <v>14</v>
      </c>
      <c r="F11" s="10" t="s">
        <v>15</v>
      </c>
      <c r="G11" s="10" t="s">
        <v>16</v>
      </c>
      <c r="H11" s="10" t="s">
        <v>17</v>
      </c>
      <c r="I11" s="10" t="s">
        <v>6</v>
      </c>
      <c r="J11" s="10" t="s">
        <v>6</v>
      </c>
      <c r="K11" s="1069" t="s">
        <v>18</v>
      </c>
      <c r="L11" s="1054"/>
      <c r="M11" s="404" t="s">
        <v>19</v>
      </c>
      <c r="N11" s="1055" t="s">
        <v>12</v>
      </c>
      <c r="O11" s="1057" t="s">
        <v>123</v>
      </c>
      <c r="P11" s="427"/>
    </row>
    <row r="12" spans="1:16" ht="42" customHeight="1" thickBot="1">
      <c r="A12" s="1052"/>
      <c r="B12" s="414" t="s">
        <v>20</v>
      </c>
      <c r="C12" s="414" t="s">
        <v>21</v>
      </c>
      <c r="D12" s="415" t="s">
        <v>22</v>
      </c>
      <c r="E12" s="437"/>
      <c r="F12" s="417"/>
      <c r="G12" s="402"/>
      <c r="H12" s="402"/>
      <c r="I12" s="402" t="s">
        <v>23</v>
      </c>
      <c r="J12" s="402" t="s">
        <v>41</v>
      </c>
      <c r="K12" s="402" t="s">
        <v>24</v>
      </c>
      <c r="L12" s="11" t="s">
        <v>39</v>
      </c>
      <c r="M12" s="11" t="s">
        <v>25</v>
      </c>
      <c r="N12" s="1056"/>
      <c r="O12" s="1058"/>
      <c r="P12" s="427"/>
    </row>
    <row r="13" spans="1:16" ht="30.75" customHeight="1">
      <c r="A13" s="85">
        <v>1</v>
      </c>
      <c r="B13" s="1067"/>
      <c r="C13" s="1068"/>
      <c r="D13" s="1068"/>
      <c r="E13" s="383" t="s">
        <v>876</v>
      </c>
      <c r="F13" s="384" t="s">
        <v>877</v>
      </c>
      <c r="G13" s="660">
        <v>100</v>
      </c>
      <c r="H13" s="650" t="s">
        <v>799</v>
      </c>
      <c r="I13" s="632">
        <f>IF(J13="","",ROUNDDOWN(J13*(1+O13/100),0))</f>
        <v>58320</v>
      </c>
      <c r="J13" s="634">
        <v>54000</v>
      </c>
      <c r="K13" s="632">
        <f>IF(L13="","",ROUNDDOWN(L13*(1+O13/100),0))</f>
        <v>5832000</v>
      </c>
      <c r="L13" s="632">
        <f>IF(OR(J13="",G13=""),"",ROUNDDOWN(J13*G13,0))</f>
        <v>5400000</v>
      </c>
      <c r="M13" s="642">
        <f aca="true" t="shared" si="0" ref="M13:M32">L13</f>
        <v>5400000</v>
      </c>
      <c r="N13" s="430">
        <v>1</v>
      </c>
      <c r="O13" s="431">
        <v>8</v>
      </c>
      <c r="P13" s="8"/>
    </row>
    <row r="14" spans="1:16" ht="30.75" customHeight="1">
      <c r="A14" s="86">
        <v>2</v>
      </c>
      <c r="B14" s="1059"/>
      <c r="C14" s="1060"/>
      <c r="D14" s="1060"/>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42">
        <f t="shared" si="0"/>
      </c>
      <c r="N14" s="432">
        <v>2</v>
      </c>
      <c r="O14" s="431">
        <v>8</v>
      </c>
      <c r="P14" s="427"/>
    </row>
    <row r="15" spans="1:16" ht="30.75" customHeight="1">
      <c r="A15" s="85">
        <v>3</v>
      </c>
      <c r="B15" s="1059"/>
      <c r="C15" s="1060"/>
      <c r="D15" s="1060"/>
      <c r="E15" s="419"/>
      <c r="F15" s="385"/>
      <c r="G15" s="660"/>
      <c r="H15" s="650"/>
      <c r="I15" s="632">
        <f t="shared" si="1"/>
      </c>
      <c r="J15" s="634"/>
      <c r="K15" s="632">
        <f t="shared" si="2"/>
      </c>
      <c r="L15" s="632">
        <f t="shared" si="3"/>
      </c>
      <c r="M15" s="642">
        <f t="shared" si="0"/>
      </c>
      <c r="N15" s="430">
        <v>3</v>
      </c>
      <c r="O15" s="431">
        <v>8</v>
      </c>
      <c r="P15" s="427"/>
    </row>
    <row r="16" spans="1:16" s="77" customFormat="1" ht="30.75" customHeight="1">
      <c r="A16" s="445">
        <v>4</v>
      </c>
      <c r="B16" s="1059"/>
      <c r="C16" s="1060"/>
      <c r="D16" s="1060"/>
      <c r="E16" s="419"/>
      <c r="F16" s="385"/>
      <c r="G16" s="660"/>
      <c r="H16" s="650"/>
      <c r="I16" s="632">
        <f t="shared" si="1"/>
      </c>
      <c r="J16" s="634"/>
      <c r="K16" s="632">
        <f t="shared" si="2"/>
      </c>
      <c r="L16" s="632">
        <f t="shared" si="3"/>
      </c>
      <c r="M16" s="642">
        <f t="shared" si="0"/>
      </c>
      <c r="N16" s="440">
        <v>4</v>
      </c>
      <c r="O16" s="431">
        <v>8</v>
      </c>
      <c r="P16" s="441"/>
    </row>
    <row r="17" spans="1:16" s="77" customFormat="1" ht="30.75" customHeight="1">
      <c r="A17" s="450">
        <v>5</v>
      </c>
      <c r="B17" s="1059"/>
      <c r="C17" s="1060"/>
      <c r="D17" s="1060"/>
      <c r="E17" s="419"/>
      <c r="F17" s="385"/>
      <c r="G17" s="660"/>
      <c r="H17" s="650"/>
      <c r="I17" s="632">
        <f t="shared" si="1"/>
      </c>
      <c r="J17" s="634"/>
      <c r="K17" s="632">
        <f t="shared" si="2"/>
      </c>
      <c r="L17" s="632">
        <f t="shared" si="3"/>
      </c>
      <c r="M17" s="642">
        <f t="shared" si="0"/>
      </c>
      <c r="N17" s="442">
        <v>5</v>
      </c>
      <c r="O17" s="431">
        <v>8</v>
      </c>
      <c r="P17" s="441"/>
    </row>
    <row r="18" spans="1:16" ht="30.75" customHeight="1">
      <c r="A18" s="86">
        <v>6</v>
      </c>
      <c r="B18" s="1059"/>
      <c r="C18" s="1060"/>
      <c r="D18" s="1060"/>
      <c r="E18" s="419"/>
      <c r="F18" s="385"/>
      <c r="G18" s="660"/>
      <c r="H18" s="650"/>
      <c r="I18" s="632">
        <f t="shared" si="1"/>
      </c>
      <c r="J18" s="634"/>
      <c r="K18" s="632">
        <f t="shared" si="2"/>
      </c>
      <c r="L18" s="632">
        <f t="shared" si="3"/>
      </c>
      <c r="M18" s="642">
        <f t="shared" si="0"/>
      </c>
      <c r="N18" s="432">
        <v>6</v>
      </c>
      <c r="O18" s="431">
        <v>8</v>
      </c>
      <c r="P18" s="427"/>
    </row>
    <row r="19" spans="1:16" ht="30.75" customHeight="1">
      <c r="A19" s="85">
        <v>7</v>
      </c>
      <c r="B19" s="1059"/>
      <c r="C19" s="1060"/>
      <c r="D19" s="1060"/>
      <c r="E19" s="419"/>
      <c r="F19" s="420"/>
      <c r="G19" s="660"/>
      <c r="H19" s="650"/>
      <c r="I19" s="632">
        <f t="shared" si="1"/>
      </c>
      <c r="J19" s="634"/>
      <c r="K19" s="632">
        <f t="shared" si="2"/>
      </c>
      <c r="L19" s="632">
        <f t="shared" si="3"/>
      </c>
      <c r="M19" s="642">
        <f t="shared" si="0"/>
      </c>
      <c r="N19" s="430">
        <v>7</v>
      </c>
      <c r="O19" s="431">
        <v>8</v>
      </c>
      <c r="P19" s="427"/>
    </row>
    <row r="20" spans="1:16" ht="30.75" customHeight="1">
      <c r="A20" s="86">
        <v>8</v>
      </c>
      <c r="B20" s="1059"/>
      <c r="C20" s="1060"/>
      <c r="D20" s="1060"/>
      <c r="E20" s="419"/>
      <c r="F20" s="385"/>
      <c r="G20" s="660"/>
      <c r="H20" s="650"/>
      <c r="I20" s="632">
        <f t="shared" si="1"/>
      </c>
      <c r="J20" s="634"/>
      <c r="K20" s="632">
        <f t="shared" si="2"/>
      </c>
      <c r="L20" s="632">
        <f t="shared" si="3"/>
      </c>
      <c r="M20" s="642">
        <f t="shared" si="0"/>
      </c>
      <c r="N20" s="432">
        <v>8</v>
      </c>
      <c r="O20" s="431">
        <v>8</v>
      </c>
      <c r="P20" s="427"/>
    </row>
    <row r="21" spans="1:16" ht="30.75" customHeight="1">
      <c r="A21" s="85">
        <v>9</v>
      </c>
      <c r="B21" s="1059"/>
      <c r="C21" s="1060"/>
      <c r="D21" s="1060"/>
      <c r="E21" s="419"/>
      <c r="F21" s="385"/>
      <c r="G21" s="660"/>
      <c r="H21" s="650"/>
      <c r="I21" s="632">
        <f t="shared" si="1"/>
      </c>
      <c r="J21" s="634"/>
      <c r="K21" s="632">
        <f t="shared" si="2"/>
      </c>
      <c r="L21" s="632">
        <f t="shared" si="3"/>
      </c>
      <c r="M21" s="642">
        <f t="shared" si="0"/>
      </c>
      <c r="N21" s="430">
        <v>9</v>
      </c>
      <c r="O21" s="431">
        <v>8</v>
      </c>
      <c r="P21" s="427"/>
    </row>
    <row r="22" spans="1:16" ht="30.75" customHeight="1">
      <c r="A22" s="86">
        <v>10</v>
      </c>
      <c r="B22" s="1059"/>
      <c r="C22" s="1060"/>
      <c r="D22" s="1060"/>
      <c r="E22" s="419"/>
      <c r="F22" s="385"/>
      <c r="G22" s="660"/>
      <c r="H22" s="650"/>
      <c r="I22" s="632">
        <f t="shared" si="1"/>
      </c>
      <c r="J22" s="634"/>
      <c r="K22" s="632">
        <f t="shared" si="2"/>
      </c>
      <c r="L22" s="632">
        <f t="shared" si="3"/>
      </c>
      <c r="M22" s="642">
        <f t="shared" si="0"/>
      </c>
      <c r="N22" s="432">
        <v>10</v>
      </c>
      <c r="O22" s="431">
        <v>8</v>
      </c>
      <c r="P22" s="427"/>
    </row>
    <row r="23" spans="1:16" ht="30.75" customHeight="1">
      <c r="A23" s="85">
        <v>11</v>
      </c>
      <c r="B23" s="1059"/>
      <c r="C23" s="1060"/>
      <c r="D23" s="1060"/>
      <c r="E23" s="419"/>
      <c r="F23" s="385"/>
      <c r="G23" s="660"/>
      <c r="H23" s="650"/>
      <c r="I23" s="632">
        <f t="shared" si="1"/>
      </c>
      <c r="J23" s="634"/>
      <c r="K23" s="632">
        <f t="shared" si="2"/>
      </c>
      <c r="L23" s="632">
        <f t="shared" si="3"/>
      </c>
      <c r="M23" s="642">
        <f t="shared" si="0"/>
      </c>
      <c r="N23" s="430">
        <v>11</v>
      </c>
      <c r="O23" s="431">
        <v>8</v>
      </c>
      <c r="P23" s="427"/>
    </row>
    <row r="24" spans="1:16" ht="30.75" customHeight="1">
      <c r="A24" s="86">
        <v>12</v>
      </c>
      <c r="B24" s="1059"/>
      <c r="C24" s="1060"/>
      <c r="D24" s="1060"/>
      <c r="E24" s="419"/>
      <c r="F24" s="385"/>
      <c r="G24" s="660"/>
      <c r="H24" s="650"/>
      <c r="I24" s="632">
        <f t="shared" si="1"/>
      </c>
      <c r="J24" s="634"/>
      <c r="K24" s="632">
        <f t="shared" si="2"/>
      </c>
      <c r="L24" s="632">
        <f t="shared" si="3"/>
      </c>
      <c r="M24" s="642">
        <f t="shared" si="0"/>
      </c>
      <c r="N24" s="432">
        <v>12</v>
      </c>
      <c r="O24" s="431">
        <v>8</v>
      </c>
      <c r="P24" s="427"/>
    </row>
    <row r="25" spans="1:16" ht="30.75" customHeight="1">
      <c r="A25" s="85">
        <v>13</v>
      </c>
      <c r="B25" s="1059"/>
      <c r="C25" s="1060"/>
      <c r="D25" s="1060"/>
      <c r="E25" s="419"/>
      <c r="F25" s="385"/>
      <c r="G25" s="660"/>
      <c r="H25" s="650"/>
      <c r="I25" s="632">
        <f t="shared" si="1"/>
      </c>
      <c r="J25" s="634"/>
      <c r="K25" s="632">
        <f t="shared" si="2"/>
      </c>
      <c r="L25" s="632">
        <f t="shared" si="3"/>
      </c>
      <c r="M25" s="642">
        <f t="shared" si="0"/>
      </c>
      <c r="N25" s="430">
        <v>13</v>
      </c>
      <c r="O25" s="431">
        <v>8</v>
      </c>
      <c r="P25" s="427"/>
    </row>
    <row r="26" spans="1:16" ht="30.75" customHeight="1">
      <c r="A26" s="86">
        <v>14</v>
      </c>
      <c r="B26" s="1059"/>
      <c r="C26" s="1060"/>
      <c r="D26" s="1060"/>
      <c r="E26" s="443"/>
      <c r="F26" s="385"/>
      <c r="G26" s="660"/>
      <c r="H26" s="650"/>
      <c r="I26" s="632">
        <f t="shared" si="1"/>
      </c>
      <c r="J26" s="634"/>
      <c r="K26" s="632">
        <f t="shared" si="2"/>
      </c>
      <c r="L26" s="632">
        <f t="shared" si="3"/>
      </c>
      <c r="M26" s="642">
        <f t="shared" si="0"/>
      </c>
      <c r="N26" s="432">
        <v>14</v>
      </c>
      <c r="O26" s="431">
        <v>8</v>
      </c>
      <c r="P26" s="427"/>
    </row>
    <row r="27" spans="1:16" ht="30.75" customHeight="1">
      <c r="A27" s="85">
        <v>15</v>
      </c>
      <c r="B27" s="1059"/>
      <c r="C27" s="1060"/>
      <c r="D27" s="1060"/>
      <c r="E27" s="443"/>
      <c r="F27" s="385"/>
      <c r="G27" s="660"/>
      <c r="H27" s="650"/>
      <c r="I27" s="632">
        <f t="shared" si="1"/>
      </c>
      <c r="J27" s="634"/>
      <c r="K27" s="632">
        <f t="shared" si="2"/>
      </c>
      <c r="L27" s="632">
        <f t="shared" si="3"/>
      </c>
      <c r="M27" s="642">
        <f t="shared" si="0"/>
      </c>
      <c r="N27" s="430">
        <v>15</v>
      </c>
      <c r="O27" s="431">
        <v>8</v>
      </c>
      <c r="P27" s="427"/>
    </row>
    <row r="28" spans="1:16" ht="30.75" customHeight="1">
      <c r="A28" s="86">
        <v>16</v>
      </c>
      <c r="B28" s="1059"/>
      <c r="C28" s="1060"/>
      <c r="D28" s="1060"/>
      <c r="E28" s="419"/>
      <c r="F28" s="385"/>
      <c r="G28" s="660"/>
      <c r="H28" s="650"/>
      <c r="I28" s="632">
        <f t="shared" si="1"/>
      </c>
      <c r="J28" s="634"/>
      <c r="K28" s="632">
        <f t="shared" si="2"/>
      </c>
      <c r="L28" s="632">
        <f t="shared" si="3"/>
      </c>
      <c r="M28" s="642">
        <f t="shared" si="0"/>
      </c>
      <c r="N28" s="432">
        <v>16</v>
      </c>
      <c r="O28" s="431">
        <v>8</v>
      </c>
      <c r="P28" s="427"/>
    </row>
    <row r="29" spans="1:16" ht="30.75" customHeight="1">
      <c r="A29" s="85">
        <v>17</v>
      </c>
      <c r="B29" s="1059"/>
      <c r="C29" s="1060"/>
      <c r="D29" s="1060"/>
      <c r="E29" s="419"/>
      <c r="F29" s="385"/>
      <c r="G29" s="660"/>
      <c r="H29" s="650"/>
      <c r="I29" s="632">
        <f t="shared" si="1"/>
      </c>
      <c r="J29" s="634"/>
      <c r="K29" s="632">
        <f t="shared" si="2"/>
      </c>
      <c r="L29" s="632">
        <f t="shared" si="3"/>
      </c>
      <c r="M29" s="642">
        <f t="shared" si="0"/>
      </c>
      <c r="N29" s="430">
        <v>17</v>
      </c>
      <c r="O29" s="431">
        <v>8</v>
      </c>
      <c r="P29" s="427"/>
    </row>
    <row r="30" spans="1:16" ht="30.75" customHeight="1">
      <c r="A30" s="86">
        <v>18</v>
      </c>
      <c r="B30" s="1059"/>
      <c r="C30" s="1060"/>
      <c r="D30" s="1060"/>
      <c r="E30" s="419"/>
      <c r="F30" s="385"/>
      <c r="G30" s="660"/>
      <c r="H30" s="650"/>
      <c r="I30" s="632">
        <f t="shared" si="1"/>
      </c>
      <c r="J30" s="634"/>
      <c r="K30" s="632">
        <f t="shared" si="2"/>
      </c>
      <c r="L30" s="632">
        <f t="shared" si="3"/>
      </c>
      <c r="M30" s="642">
        <f t="shared" si="0"/>
      </c>
      <c r="N30" s="432">
        <v>18</v>
      </c>
      <c r="O30" s="431">
        <v>8</v>
      </c>
      <c r="P30" s="427"/>
    </row>
    <row r="31" spans="1:16" ht="30.75" customHeight="1">
      <c r="A31" s="85">
        <v>19</v>
      </c>
      <c r="B31" s="1059"/>
      <c r="C31" s="1060"/>
      <c r="D31" s="1060"/>
      <c r="E31" s="443"/>
      <c r="F31" s="385"/>
      <c r="G31" s="660"/>
      <c r="H31" s="650"/>
      <c r="I31" s="632">
        <f t="shared" si="1"/>
      </c>
      <c r="J31" s="634"/>
      <c r="K31" s="632">
        <f t="shared" si="2"/>
      </c>
      <c r="L31" s="632">
        <f t="shared" si="3"/>
      </c>
      <c r="M31" s="642">
        <f t="shared" si="0"/>
      </c>
      <c r="N31" s="430">
        <v>19</v>
      </c>
      <c r="O31" s="431">
        <v>8</v>
      </c>
      <c r="P31" s="427"/>
    </row>
    <row r="32" spans="1:16" ht="30.75" customHeight="1" thickBot="1">
      <c r="A32" s="159">
        <v>20</v>
      </c>
      <c r="B32" s="1063"/>
      <c r="C32" s="1064"/>
      <c r="D32" s="1064"/>
      <c r="E32" s="422"/>
      <c r="F32" s="389"/>
      <c r="G32" s="663"/>
      <c r="H32" s="652"/>
      <c r="I32" s="635">
        <f t="shared" si="1"/>
      </c>
      <c r="J32" s="636"/>
      <c r="K32" s="635">
        <f t="shared" si="2"/>
      </c>
      <c r="L32" s="635">
        <f t="shared" si="3"/>
      </c>
      <c r="M32" s="643">
        <f t="shared" si="0"/>
      </c>
      <c r="N32" s="433">
        <v>20</v>
      </c>
      <c r="O32" s="434">
        <v>8</v>
      </c>
      <c r="P32" s="427"/>
    </row>
    <row r="33" spans="1:16" ht="21" customHeight="1" thickBot="1">
      <c r="A33" s="1061" t="s">
        <v>26</v>
      </c>
      <c r="B33" s="1062"/>
      <c r="C33" s="1062"/>
      <c r="D33" s="1062"/>
      <c r="E33" s="1062"/>
      <c r="F33" s="1062"/>
      <c r="G33" s="1062"/>
      <c r="H33" s="1062"/>
      <c r="I33" s="1062"/>
      <c r="J33" s="403"/>
      <c r="K33" s="631">
        <f>SUM(K13:K32)</f>
        <v>5832000</v>
      </c>
      <c r="L33" s="644">
        <f>SUM(L13:L32)</f>
        <v>5400000</v>
      </c>
      <c r="M33" s="645">
        <f>SUM(M13:M32)</f>
        <v>5400000</v>
      </c>
      <c r="N33" s="83"/>
      <c r="P33" s="83"/>
    </row>
    <row r="34" spans="1:16" ht="13.5" customHeight="1">
      <c r="A34" s="412"/>
      <c r="N34" s="80"/>
      <c r="P34" s="80"/>
    </row>
    <row r="35" spans="2:16" ht="13.5" customHeight="1">
      <c r="B35" s="8" t="s">
        <v>33</v>
      </c>
      <c r="D35" s="412"/>
      <c r="E35" s="401" t="s">
        <v>107</v>
      </c>
      <c r="N35" s="80"/>
      <c r="P35" s="80"/>
    </row>
    <row r="36" spans="1:16" s="401" customFormat="1" ht="13.5" customHeight="1">
      <c r="A36" s="8"/>
      <c r="B36" s="8"/>
      <c r="C36" s="8"/>
      <c r="D36" s="8"/>
      <c r="E36" s="401" t="s">
        <v>108</v>
      </c>
      <c r="G36" s="8"/>
      <c r="H36" s="8"/>
      <c r="I36" s="8"/>
      <c r="J36" s="8"/>
      <c r="K36" s="8"/>
      <c r="L36" s="8"/>
      <c r="M36" s="8"/>
      <c r="N36" s="84"/>
      <c r="O36" s="13"/>
      <c r="P36" s="84"/>
    </row>
    <row r="37" spans="1:16" s="401" customFormat="1" ht="13.5" customHeight="1">
      <c r="A37" s="8"/>
      <c r="B37" s="8" t="s">
        <v>34</v>
      </c>
      <c r="C37" s="8"/>
      <c r="D37" s="8"/>
      <c r="E37" s="401" t="s">
        <v>109</v>
      </c>
      <c r="G37" s="8"/>
      <c r="H37" s="8"/>
      <c r="I37" s="8"/>
      <c r="J37" s="8"/>
      <c r="K37" s="8"/>
      <c r="L37" s="8"/>
      <c r="M37" s="8"/>
      <c r="N37" s="13"/>
      <c r="O37" s="13"/>
      <c r="P37" s="13"/>
    </row>
    <row r="38" spans="1:16" s="401" customFormat="1" ht="13.5" customHeight="1">
      <c r="A38" s="8"/>
      <c r="B38" s="8" t="s">
        <v>35</v>
      </c>
      <c r="C38" s="8"/>
      <c r="D38" s="8"/>
      <c r="E38" s="401" t="s">
        <v>110</v>
      </c>
      <c r="G38" s="8"/>
      <c r="H38" s="8"/>
      <c r="I38" s="8"/>
      <c r="J38" s="8"/>
      <c r="K38" s="8"/>
      <c r="L38" s="8"/>
      <c r="M38" s="8"/>
      <c r="N38" s="13"/>
      <c r="O38" s="13"/>
      <c r="P38"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4"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1" customWidth="1"/>
    <col min="7" max="7" width="9.140625" style="8" customWidth="1"/>
    <col min="8" max="8" width="6.421875" style="8" customWidth="1"/>
    <col min="9" max="9" width="11.57421875" style="8" customWidth="1"/>
    <col min="10" max="10" width="11.57421875" style="423" customWidth="1"/>
    <col min="11" max="13" width="15.140625" style="8" customWidth="1"/>
    <col min="14" max="15" width="3.8515625" style="13" customWidth="1"/>
    <col min="16" max="16384" width="9.00390625" style="8" customWidth="1"/>
  </cols>
  <sheetData>
    <row r="1" spans="1:18" ht="13.5">
      <c r="A1" s="13"/>
      <c r="H1" s="13"/>
      <c r="J1" s="8"/>
      <c r="P1" s="13"/>
      <c r="Q1" s="408"/>
      <c r="R1" s="408"/>
    </row>
    <row r="2" spans="1:18" ht="13.5">
      <c r="A2" s="13"/>
      <c r="B2" s="767" t="s">
        <v>852</v>
      </c>
      <c r="H2" s="13"/>
      <c r="J2" s="8"/>
      <c r="P2" s="13"/>
      <c r="Q2" s="408"/>
      <c r="R2" s="408"/>
    </row>
    <row r="3" spans="1:18" ht="13.5">
      <c r="A3" s="13"/>
      <c r="H3" s="13"/>
      <c r="J3" s="8"/>
      <c r="P3" s="13"/>
      <c r="Q3" s="408"/>
      <c r="R3" s="408"/>
    </row>
    <row r="4" spans="1:6" ht="13.5" customHeight="1">
      <c r="A4" s="1050" t="s">
        <v>940</v>
      </c>
      <c r="B4" s="1050"/>
      <c r="C4" s="1050"/>
      <c r="D4" s="1050"/>
      <c r="E4" s="1050"/>
      <c r="F4" s="13"/>
    </row>
    <row r="5" spans="1:14" ht="13.5" customHeight="1">
      <c r="A5" s="80"/>
      <c r="B5" s="80"/>
      <c r="C5" s="80"/>
      <c r="D5" s="80"/>
      <c r="E5" s="435"/>
      <c r="F5" s="13"/>
      <c r="N5" s="80"/>
    </row>
    <row r="6" spans="1:14" ht="13.5" customHeight="1">
      <c r="A6" s="80"/>
      <c r="B6" s="80" t="s">
        <v>28</v>
      </c>
      <c r="C6" s="409" t="s">
        <v>32</v>
      </c>
      <c r="D6" s="80"/>
      <c r="E6" s="435"/>
      <c r="F6" s="410" t="s">
        <v>27</v>
      </c>
      <c r="N6" s="80"/>
    </row>
    <row r="7" spans="1:14" ht="13.5" customHeight="1">
      <c r="A7" s="80"/>
      <c r="B7" s="80"/>
      <c r="C7" s="80"/>
      <c r="D7" s="80"/>
      <c r="E7" s="435"/>
      <c r="F7" s="539" t="s">
        <v>55</v>
      </c>
      <c r="N7" s="80"/>
    </row>
    <row r="8" spans="1:15" ht="13.5" customHeight="1">
      <c r="A8" s="80"/>
      <c r="B8" s="80"/>
      <c r="C8" s="80"/>
      <c r="D8" s="80"/>
      <c r="E8" s="435"/>
      <c r="F8" s="13"/>
      <c r="M8" s="8" t="s">
        <v>36</v>
      </c>
      <c r="N8" s="80"/>
      <c r="O8" s="411"/>
    </row>
    <row r="9" spans="1:14" ht="13.5" customHeight="1">
      <c r="A9" s="412"/>
      <c r="F9" s="13"/>
      <c r="K9" s="9" t="s">
        <v>106</v>
      </c>
      <c r="L9" s="45" t="str">
        <f>IF('基本情報入力（使い方）'!$C$10="","",'基本情報入力（使い方）'!$C$10)</f>
        <v>Ｂ金属株式会社</v>
      </c>
      <c r="N9" s="80"/>
    </row>
    <row r="10" spans="1:14" ht="13.5" customHeight="1" thickBot="1">
      <c r="A10" s="412"/>
      <c r="F10" s="13"/>
      <c r="N10" s="80"/>
    </row>
    <row r="11" spans="1:15" ht="27" customHeight="1">
      <c r="A11" s="1051" t="s">
        <v>12</v>
      </c>
      <c r="B11" s="1053" t="s">
        <v>13</v>
      </c>
      <c r="C11" s="1053"/>
      <c r="D11" s="1054"/>
      <c r="E11" s="436" t="s">
        <v>14</v>
      </c>
      <c r="F11" s="10" t="s">
        <v>15</v>
      </c>
      <c r="G11" s="10" t="s">
        <v>16</v>
      </c>
      <c r="H11" s="10" t="s">
        <v>17</v>
      </c>
      <c r="I11" s="10" t="s">
        <v>6</v>
      </c>
      <c r="J11" s="424" t="s">
        <v>6</v>
      </c>
      <c r="K11" s="1069" t="s">
        <v>18</v>
      </c>
      <c r="L11" s="1054"/>
      <c r="M11" s="404" t="s">
        <v>19</v>
      </c>
      <c r="N11" s="1055" t="s">
        <v>12</v>
      </c>
      <c r="O11" s="1057" t="s">
        <v>123</v>
      </c>
    </row>
    <row r="12" spans="1:15" ht="42" customHeight="1" thickBot="1">
      <c r="A12" s="1052"/>
      <c r="B12" s="414" t="s">
        <v>20</v>
      </c>
      <c r="C12" s="414" t="s">
        <v>21</v>
      </c>
      <c r="D12" s="415" t="s">
        <v>22</v>
      </c>
      <c r="E12" s="437"/>
      <c r="F12" s="417"/>
      <c r="G12" s="402"/>
      <c r="H12" s="402"/>
      <c r="I12" s="402" t="s">
        <v>23</v>
      </c>
      <c r="J12" s="426" t="s">
        <v>41</v>
      </c>
      <c r="K12" s="402" t="s">
        <v>24</v>
      </c>
      <c r="L12" s="11" t="s">
        <v>39</v>
      </c>
      <c r="M12" s="11" t="s">
        <v>25</v>
      </c>
      <c r="N12" s="1056"/>
      <c r="O12" s="1058"/>
    </row>
    <row r="13" spans="1:15" ht="30.75" customHeight="1">
      <c r="A13" s="85">
        <v>1</v>
      </c>
      <c r="B13" s="1059"/>
      <c r="C13" s="1060"/>
      <c r="D13" s="1060"/>
      <c r="E13" s="383" t="s">
        <v>878</v>
      </c>
      <c r="F13" s="384" t="s">
        <v>879</v>
      </c>
      <c r="G13" s="660">
        <v>7</v>
      </c>
      <c r="H13" s="650" t="s">
        <v>880</v>
      </c>
      <c r="I13" s="632">
        <f>IF(J13="","",ROUNDDOWN(J13*(1+O13/100),0))</f>
        <v>108000</v>
      </c>
      <c r="J13" s="634">
        <v>100000</v>
      </c>
      <c r="K13" s="632">
        <f>IF(L13="","",ROUNDDOWN(L13*(1+O13/100),0))</f>
        <v>756000</v>
      </c>
      <c r="L13" s="632">
        <f>IF(OR(J13="",G13=""),"",ROUNDDOWN(J13*G13,0))</f>
        <v>700000</v>
      </c>
      <c r="M13" s="633">
        <f aca="true" t="shared" si="0" ref="M13:M32">L13</f>
        <v>700000</v>
      </c>
      <c r="N13" s="81">
        <v>1</v>
      </c>
      <c r="O13" s="438">
        <v>8</v>
      </c>
    </row>
    <row r="14" spans="1:15" ht="30.75" customHeight="1">
      <c r="A14" s="86">
        <v>2</v>
      </c>
      <c r="B14" s="1059"/>
      <c r="C14" s="1060"/>
      <c r="D14" s="1060"/>
      <c r="E14" s="385"/>
      <c r="F14" s="384"/>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5">
        <v>3</v>
      </c>
      <c r="B15" s="1059"/>
      <c r="C15" s="1060"/>
      <c r="D15" s="1060"/>
      <c r="E15" s="385"/>
      <c r="F15" s="385"/>
      <c r="G15" s="660"/>
      <c r="H15" s="650"/>
      <c r="I15" s="632">
        <f t="shared" si="1"/>
      </c>
      <c r="J15" s="634"/>
      <c r="K15" s="632">
        <f t="shared" si="2"/>
      </c>
      <c r="L15" s="632">
        <f t="shared" si="3"/>
      </c>
      <c r="M15" s="633">
        <f t="shared" si="0"/>
      </c>
      <c r="N15" s="81">
        <v>3</v>
      </c>
      <c r="O15" s="438">
        <v>8</v>
      </c>
    </row>
    <row r="16" spans="1:15" s="77" customFormat="1" ht="30.75" customHeight="1">
      <c r="A16" s="86">
        <v>4</v>
      </c>
      <c r="B16" s="1059"/>
      <c r="C16" s="1060"/>
      <c r="D16" s="1060"/>
      <c r="E16" s="385"/>
      <c r="F16" s="385"/>
      <c r="G16" s="660"/>
      <c r="H16" s="650"/>
      <c r="I16" s="632">
        <f t="shared" si="1"/>
      </c>
      <c r="J16" s="634"/>
      <c r="K16" s="632">
        <f t="shared" si="2"/>
      </c>
      <c r="L16" s="632">
        <f t="shared" si="3"/>
      </c>
      <c r="M16" s="633">
        <f t="shared" si="0"/>
      </c>
      <c r="N16" s="87">
        <v>4</v>
      </c>
      <c r="O16" s="438">
        <v>8</v>
      </c>
    </row>
    <row r="17" spans="1:15" s="77" customFormat="1" ht="30.75" customHeight="1">
      <c r="A17" s="85">
        <v>5</v>
      </c>
      <c r="B17" s="1059"/>
      <c r="C17" s="1060"/>
      <c r="D17" s="1060"/>
      <c r="E17" s="385"/>
      <c r="F17" s="385"/>
      <c r="G17" s="660"/>
      <c r="H17" s="650"/>
      <c r="I17" s="632">
        <f t="shared" si="1"/>
      </c>
      <c r="J17" s="634"/>
      <c r="K17" s="632">
        <f t="shared" si="2"/>
      </c>
      <c r="L17" s="632">
        <f t="shared" si="3"/>
      </c>
      <c r="M17" s="633">
        <f t="shared" si="0"/>
      </c>
      <c r="N17" s="88">
        <v>5</v>
      </c>
      <c r="O17" s="438">
        <v>8</v>
      </c>
    </row>
    <row r="18" spans="1:15" ht="30.75" customHeight="1">
      <c r="A18" s="86">
        <v>6</v>
      </c>
      <c r="B18" s="1059"/>
      <c r="C18" s="1060"/>
      <c r="D18" s="1060"/>
      <c r="E18" s="385"/>
      <c r="F18" s="385"/>
      <c r="G18" s="660"/>
      <c r="H18" s="650"/>
      <c r="I18" s="632">
        <f t="shared" si="1"/>
      </c>
      <c r="J18" s="634"/>
      <c r="K18" s="632">
        <f t="shared" si="2"/>
      </c>
      <c r="L18" s="632">
        <f t="shared" si="3"/>
      </c>
      <c r="M18" s="633">
        <f t="shared" si="0"/>
      </c>
      <c r="N18" s="82">
        <v>6</v>
      </c>
      <c r="O18" s="438">
        <v>8</v>
      </c>
    </row>
    <row r="19" spans="1:15" ht="30.75" customHeight="1">
      <c r="A19" s="85">
        <v>7</v>
      </c>
      <c r="B19" s="1059"/>
      <c r="C19" s="1060"/>
      <c r="D19" s="1060"/>
      <c r="E19" s="385"/>
      <c r="F19" s="420"/>
      <c r="G19" s="660"/>
      <c r="H19" s="650"/>
      <c r="I19" s="632">
        <f t="shared" si="1"/>
      </c>
      <c r="J19" s="634"/>
      <c r="K19" s="632">
        <f t="shared" si="2"/>
      </c>
      <c r="L19" s="632">
        <f t="shared" si="3"/>
      </c>
      <c r="M19" s="633">
        <f t="shared" si="0"/>
      </c>
      <c r="N19" s="81">
        <v>7</v>
      </c>
      <c r="O19" s="438">
        <v>8</v>
      </c>
    </row>
    <row r="20" spans="1:15" ht="30.75" customHeight="1">
      <c r="A20" s="86">
        <v>8</v>
      </c>
      <c r="B20" s="1059"/>
      <c r="C20" s="1060"/>
      <c r="D20" s="1060"/>
      <c r="E20" s="385"/>
      <c r="F20" s="385"/>
      <c r="G20" s="660"/>
      <c r="H20" s="650"/>
      <c r="I20" s="632">
        <f t="shared" si="1"/>
      </c>
      <c r="J20" s="634"/>
      <c r="K20" s="632">
        <f t="shared" si="2"/>
      </c>
      <c r="L20" s="632">
        <f t="shared" si="3"/>
      </c>
      <c r="M20" s="633">
        <f t="shared" si="0"/>
      </c>
      <c r="N20" s="82">
        <v>8</v>
      </c>
      <c r="O20" s="438">
        <v>8</v>
      </c>
    </row>
    <row r="21" spans="1:15" ht="30.75" customHeight="1">
      <c r="A21" s="85">
        <v>9</v>
      </c>
      <c r="B21" s="1059"/>
      <c r="C21" s="1060"/>
      <c r="D21" s="1060"/>
      <c r="E21" s="385"/>
      <c r="F21" s="385"/>
      <c r="G21" s="660"/>
      <c r="H21" s="650"/>
      <c r="I21" s="632">
        <f t="shared" si="1"/>
      </c>
      <c r="J21" s="634"/>
      <c r="K21" s="632">
        <f t="shared" si="2"/>
      </c>
      <c r="L21" s="632">
        <f t="shared" si="3"/>
      </c>
      <c r="M21" s="633">
        <f t="shared" si="0"/>
      </c>
      <c r="N21" s="81">
        <v>9</v>
      </c>
      <c r="O21" s="438">
        <v>8</v>
      </c>
    </row>
    <row r="22" spans="1:15" ht="30.75" customHeight="1">
      <c r="A22" s="86">
        <v>10</v>
      </c>
      <c r="B22" s="1059"/>
      <c r="C22" s="1060"/>
      <c r="D22" s="1060"/>
      <c r="E22" s="385"/>
      <c r="F22" s="385"/>
      <c r="G22" s="660"/>
      <c r="H22" s="650"/>
      <c r="I22" s="632">
        <f t="shared" si="1"/>
      </c>
      <c r="J22" s="634"/>
      <c r="K22" s="632">
        <f t="shared" si="2"/>
      </c>
      <c r="L22" s="632">
        <f t="shared" si="3"/>
      </c>
      <c r="M22" s="633">
        <f t="shared" si="0"/>
      </c>
      <c r="N22" s="82">
        <v>10</v>
      </c>
      <c r="O22" s="438">
        <v>8</v>
      </c>
    </row>
    <row r="23" spans="1:16" ht="30.75" customHeight="1">
      <c r="A23" s="85">
        <v>11</v>
      </c>
      <c r="B23" s="1059"/>
      <c r="C23" s="1060"/>
      <c r="D23" s="1060"/>
      <c r="E23" s="385"/>
      <c r="F23" s="385"/>
      <c r="G23" s="660"/>
      <c r="H23" s="650"/>
      <c r="I23" s="632">
        <f t="shared" si="1"/>
      </c>
      <c r="J23" s="634"/>
      <c r="K23" s="632">
        <f t="shared" si="2"/>
      </c>
      <c r="L23" s="632">
        <f t="shared" si="3"/>
      </c>
      <c r="M23" s="633">
        <f t="shared" si="0"/>
      </c>
      <c r="N23" s="81">
        <v>11</v>
      </c>
      <c r="O23" s="438">
        <v>8</v>
      </c>
      <c r="P23" s="408"/>
    </row>
    <row r="24" spans="1:15" ht="30.75" customHeight="1">
      <c r="A24" s="86">
        <v>12</v>
      </c>
      <c r="B24" s="1059"/>
      <c r="C24" s="1060"/>
      <c r="D24" s="1060"/>
      <c r="E24" s="385"/>
      <c r="F24" s="385"/>
      <c r="G24" s="660"/>
      <c r="H24" s="650"/>
      <c r="I24" s="632">
        <f t="shared" si="1"/>
      </c>
      <c r="J24" s="634"/>
      <c r="K24" s="632">
        <f t="shared" si="2"/>
      </c>
      <c r="L24" s="632">
        <f t="shared" si="3"/>
      </c>
      <c r="M24" s="633">
        <f t="shared" si="0"/>
      </c>
      <c r="N24" s="82">
        <v>12</v>
      </c>
      <c r="O24" s="438">
        <v>8</v>
      </c>
    </row>
    <row r="25" spans="1:15" ht="30.75" customHeight="1">
      <c r="A25" s="85">
        <v>13</v>
      </c>
      <c r="B25" s="1059"/>
      <c r="C25" s="1060"/>
      <c r="D25" s="1060"/>
      <c r="E25" s="385"/>
      <c r="F25" s="385"/>
      <c r="G25" s="660"/>
      <c r="H25" s="650"/>
      <c r="I25" s="632">
        <f t="shared" si="1"/>
      </c>
      <c r="J25" s="634"/>
      <c r="K25" s="632">
        <f t="shared" si="2"/>
      </c>
      <c r="L25" s="632">
        <f t="shared" si="3"/>
      </c>
      <c r="M25" s="633">
        <f t="shared" si="0"/>
      </c>
      <c r="N25" s="81">
        <v>13</v>
      </c>
      <c r="O25" s="438">
        <v>8</v>
      </c>
    </row>
    <row r="26" spans="1:15" ht="30.75" customHeight="1">
      <c r="A26" s="86">
        <v>14</v>
      </c>
      <c r="B26" s="1059"/>
      <c r="C26" s="1060"/>
      <c r="D26" s="1060"/>
      <c r="E26" s="386"/>
      <c r="F26" s="385"/>
      <c r="G26" s="660"/>
      <c r="H26" s="650"/>
      <c r="I26" s="632">
        <f t="shared" si="1"/>
      </c>
      <c r="J26" s="634"/>
      <c r="K26" s="632">
        <f t="shared" si="2"/>
      </c>
      <c r="L26" s="632">
        <f t="shared" si="3"/>
      </c>
      <c r="M26" s="633">
        <f t="shared" si="0"/>
      </c>
      <c r="N26" s="82">
        <v>14</v>
      </c>
      <c r="O26" s="438">
        <v>8</v>
      </c>
    </row>
    <row r="27" spans="1:15" ht="30.75" customHeight="1">
      <c r="A27" s="85">
        <v>15</v>
      </c>
      <c r="B27" s="1059"/>
      <c r="C27" s="1060"/>
      <c r="D27" s="1060"/>
      <c r="E27" s="386"/>
      <c r="F27" s="385"/>
      <c r="G27" s="660"/>
      <c r="H27" s="650"/>
      <c r="I27" s="632">
        <f t="shared" si="1"/>
      </c>
      <c r="J27" s="634"/>
      <c r="K27" s="632">
        <f t="shared" si="2"/>
      </c>
      <c r="L27" s="632">
        <f t="shared" si="3"/>
      </c>
      <c r="M27" s="633">
        <f t="shared" si="0"/>
      </c>
      <c r="N27" s="81">
        <v>15</v>
      </c>
      <c r="O27" s="438">
        <v>8</v>
      </c>
    </row>
    <row r="28" spans="1:15" ht="30.75" customHeight="1">
      <c r="A28" s="86">
        <v>16</v>
      </c>
      <c r="B28" s="1059"/>
      <c r="C28" s="1060"/>
      <c r="D28" s="1060"/>
      <c r="E28" s="385"/>
      <c r="F28" s="385"/>
      <c r="G28" s="660"/>
      <c r="H28" s="650"/>
      <c r="I28" s="632">
        <f t="shared" si="1"/>
      </c>
      <c r="J28" s="634"/>
      <c r="K28" s="632">
        <f t="shared" si="2"/>
      </c>
      <c r="L28" s="632">
        <f t="shared" si="3"/>
      </c>
      <c r="M28" s="633">
        <f t="shared" si="0"/>
      </c>
      <c r="N28" s="82">
        <v>16</v>
      </c>
      <c r="O28" s="438">
        <v>8</v>
      </c>
    </row>
    <row r="29" spans="1:15" ht="30.75" customHeight="1">
      <c r="A29" s="85">
        <v>17</v>
      </c>
      <c r="B29" s="1059"/>
      <c r="C29" s="1060"/>
      <c r="D29" s="1060"/>
      <c r="E29" s="385"/>
      <c r="F29" s="385"/>
      <c r="G29" s="660"/>
      <c r="H29" s="650"/>
      <c r="I29" s="632">
        <f t="shared" si="1"/>
      </c>
      <c r="J29" s="634"/>
      <c r="K29" s="632">
        <f t="shared" si="2"/>
      </c>
      <c r="L29" s="632">
        <f t="shared" si="3"/>
      </c>
      <c r="M29" s="633">
        <f t="shared" si="0"/>
      </c>
      <c r="N29" s="81">
        <v>17</v>
      </c>
      <c r="O29" s="438">
        <v>8</v>
      </c>
    </row>
    <row r="30" spans="1:15" ht="30.75" customHeight="1">
      <c r="A30" s="86">
        <v>18</v>
      </c>
      <c r="B30" s="1059"/>
      <c r="C30" s="1060"/>
      <c r="D30" s="1060"/>
      <c r="E30" s="385"/>
      <c r="F30" s="385"/>
      <c r="G30" s="660"/>
      <c r="H30" s="650"/>
      <c r="I30" s="632">
        <f t="shared" si="1"/>
      </c>
      <c r="J30" s="634"/>
      <c r="K30" s="632">
        <f t="shared" si="2"/>
      </c>
      <c r="L30" s="632">
        <f t="shared" si="3"/>
      </c>
      <c r="M30" s="633">
        <f t="shared" si="0"/>
      </c>
      <c r="N30" s="82">
        <v>18</v>
      </c>
      <c r="O30" s="438">
        <v>8</v>
      </c>
    </row>
    <row r="31" spans="1:15" ht="30.75" customHeight="1">
      <c r="A31" s="85">
        <v>19</v>
      </c>
      <c r="B31" s="1059"/>
      <c r="C31" s="1060"/>
      <c r="D31" s="1060"/>
      <c r="E31" s="386"/>
      <c r="F31" s="385"/>
      <c r="G31" s="660"/>
      <c r="H31" s="650"/>
      <c r="I31" s="632">
        <f t="shared" si="1"/>
      </c>
      <c r="J31" s="634"/>
      <c r="K31" s="632">
        <f t="shared" si="2"/>
      </c>
      <c r="L31" s="632">
        <f t="shared" si="3"/>
      </c>
      <c r="M31" s="633">
        <f t="shared" si="0"/>
      </c>
      <c r="N31" s="81">
        <v>19</v>
      </c>
      <c r="O31" s="438">
        <v>8</v>
      </c>
    </row>
    <row r="32" spans="1:15" ht="30.75" customHeight="1" thickBot="1">
      <c r="A32" s="159">
        <v>20</v>
      </c>
      <c r="B32" s="1063"/>
      <c r="C32" s="1064"/>
      <c r="D32" s="1064"/>
      <c r="E32" s="389"/>
      <c r="F32" s="389"/>
      <c r="G32" s="663"/>
      <c r="H32" s="652"/>
      <c r="I32" s="635">
        <f t="shared" si="1"/>
      </c>
      <c r="J32" s="636"/>
      <c r="K32" s="635">
        <f t="shared" si="2"/>
      </c>
      <c r="L32" s="635">
        <f t="shared" si="3"/>
      </c>
      <c r="M32" s="637">
        <f t="shared" si="0"/>
      </c>
      <c r="N32" s="160">
        <v>20</v>
      </c>
      <c r="O32" s="439">
        <v>8</v>
      </c>
    </row>
    <row r="33" spans="1:14" ht="21" customHeight="1" thickBot="1">
      <c r="A33" s="1061" t="s">
        <v>26</v>
      </c>
      <c r="B33" s="1062"/>
      <c r="C33" s="1062"/>
      <c r="D33" s="1062"/>
      <c r="E33" s="1062"/>
      <c r="F33" s="1062"/>
      <c r="G33" s="1062"/>
      <c r="H33" s="1062"/>
      <c r="I33" s="1062"/>
      <c r="J33" s="89"/>
      <c r="K33" s="644">
        <f>SUM(K13:K32)</f>
        <v>756000</v>
      </c>
      <c r="L33" s="644">
        <f>SUM(L13:L32)</f>
        <v>700000</v>
      </c>
      <c r="M33" s="645">
        <f>SUM(M13:M32)</f>
        <v>700000</v>
      </c>
      <c r="N33" s="83"/>
    </row>
    <row r="34" spans="1:14" ht="13.5" customHeight="1">
      <c r="A34" s="412"/>
      <c r="N34" s="80"/>
    </row>
    <row r="35" spans="2:14" ht="13.5" customHeight="1">
      <c r="B35" s="8" t="s">
        <v>33</v>
      </c>
      <c r="D35" s="412"/>
      <c r="E35" s="401" t="s">
        <v>107</v>
      </c>
      <c r="N35" s="80"/>
    </row>
    <row r="36" spans="1:15" s="401" customFormat="1" ht="13.5" customHeight="1">
      <c r="A36" s="8"/>
      <c r="B36" s="8"/>
      <c r="C36" s="8"/>
      <c r="D36" s="8"/>
      <c r="E36" s="401" t="s">
        <v>108</v>
      </c>
      <c r="G36" s="8"/>
      <c r="H36" s="8"/>
      <c r="I36" s="8"/>
      <c r="J36" s="423"/>
      <c r="K36" s="8"/>
      <c r="L36" s="8"/>
      <c r="M36" s="8"/>
      <c r="N36" s="84"/>
      <c r="O36" s="13"/>
    </row>
    <row r="37" spans="1:15" s="401" customFormat="1" ht="13.5" customHeight="1">
      <c r="A37" s="8"/>
      <c r="B37" s="8" t="s">
        <v>34</v>
      </c>
      <c r="C37" s="8"/>
      <c r="D37" s="8"/>
      <c r="E37" s="401" t="s">
        <v>109</v>
      </c>
      <c r="G37" s="8"/>
      <c r="H37" s="8"/>
      <c r="I37" s="8"/>
      <c r="J37" s="423"/>
      <c r="K37" s="8"/>
      <c r="L37" s="8"/>
      <c r="M37" s="8"/>
      <c r="N37" s="13"/>
      <c r="O37" s="13"/>
    </row>
    <row r="38" spans="1:15" s="401" customFormat="1" ht="13.5" customHeight="1">
      <c r="A38" s="8"/>
      <c r="B38" s="8" t="s">
        <v>35</v>
      </c>
      <c r="C38" s="8"/>
      <c r="D38" s="8"/>
      <c r="E38" s="401" t="s">
        <v>110</v>
      </c>
      <c r="G38" s="8"/>
      <c r="H38" s="8"/>
      <c r="I38" s="8"/>
      <c r="J38" s="423"/>
      <c r="K38" s="8"/>
      <c r="L38" s="8"/>
      <c r="M38" s="8"/>
      <c r="N38" s="13"/>
      <c r="O38"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5"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2015-08-04T09:24:24Z</cp:lastPrinted>
  <dcterms:created xsi:type="dcterms:W3CDTF">2013-05-03T10:01:41Z</dcterms:created>
  <dcterms:modified xsi:type="dcterms:W3CDTF">2016-03-01T08:32:43Z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